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1720" activeTab="1"/>
  </bookViews>
  <sheets>
    <sheet name="Copyright" sheetId="1" r:id="rId1"/>
    <sheet name="Assumptions " sheetId="2" r:id="rId2"/>
    <sheet name="Pro Forma" sheetId="3" r:id="rId3"/>
    <sheet name="Calculation Appendix" sheetId="4" r:id="rId4"/>
    <sheet name="Summary" sheetId="5" r:id="rId5"/>
    <sheet name="Break-Even Charts" sheetId="6" r:id="rId6"/>
    <sheet name="Sheet1" sheetId="7" state="hidden" r:id="rId7"/>
  </sheets>
  <definedNames/>
  <calcPr fullCalcOnLoad="1"/>
</workbook>
</file>

<file path=xl/comments2.xml><?xml version="1.0" encoding="utf-8"?>
<comments xmlns="http://schemas.openxmlformats.org/spreadsheetml/2006/main">
  <authors>
    <author>Jonathan Mooney</author>
    <author>bantonich</author>
  </authors>
  <commentList>
    <comment ref="C19" authorId="0">
      <text>
        <r>
          <rPr>
            <sz val="9"/>
            <rFont val="Calibri"/>
            <family val="2"/>
          </rPr>
          <t>Choose the residual resale value % of the turbines at the end of the life of the project</t>
        </r>
      </text>
    </comment>
    <comment ref="M62" authorId="1">
      <text>
        <r>
          <rPr>
            <sz val="8"/>
            <rFont val="Tahoma"/>
            <family val="0"/>
          </rPr>
          <t xml:space="preserve">
</t>
        </r>
        <r>
          <rPr>
            <sz val="10"/>
            <rFont val="Tahoma"/>
            <family val="2"/>
          </rPr>
          <t xml:space="preserve">Input year in which project intends to borrow money. Year 0 means that it is used for start-up development costs before the turbines are up and running in year 1. </t>
        </r>
        <r>
          <rPr>
            <sz val="8"/>
            <rFont val="Tahoma"/>
            <family val="0"/>
          </rPr>
          <t xml:space="preserve">
</t>
        </r>
      </text>
    </comment>
    <comment ref="N62" authorId="0">
      <text>
        <r>
          <rPr>
            <sz val="9"/>
            <rFont val="Calibri"/>
            <family val="2"/>
          </rPr>
          <t xml:space="preserve">Input the year in which the loan payments will end. Note make sure that it is the correct amount of periods in debt term years. For example: Year start of 3 has a year end date of 12 (10 payment periods). Not 10+3=13 year end. That is 11 payment periods. </t>
        </r>
      </text>
    </comment>
    <comment ref="K60" authorId="0">
      <text>
        <r>
          <rPr>
            <sz val="9"/>
            <rFont val="Calibri"/>
            <family val="2"/>
          </rPr>
          <t xml:space="preserve">Mannually input the length of the debt.  </t>
        </r>
      </text>
    </comment>
    <comment ref="C73" authorId="1">
      <text>
        <r>
          <rPr>
            <sz val="10"/>
            <rFont val="Tahoma"/>
            <family val="2"/>
          </rPr>
          <t>What percentage ownership will the local investor have in the years of project operation prior to change in owership percentage?</t>
        </r>
        <r>
          <rPr>
            <sz val="8"/>
            <rFont val="Tahoma"/>
            <family val="0"/>
          </rPr>
          <t xml:space="preserve">
</t>
        </r>
      </text>
    </comment>
    <comment ref="C74" authorId="1">
      <text>
        <r>
          <rPr>
            <sz val="10"/>
            <rFont val="Tahoma"/>
            <family val="2"/>
          </rPr>
          <t>What percentage ownership will the local investor have in the years of project operation after the change in ownership change?</t>
        </r>
      </text>
    </comment>
    <comment ref="C17" authorId="0">
      <text>
        <r>
          <rPr>
            <sz val="9"/>
            <rFont val="Calibri"/>
            <family val="2"/>
          </rPr>
          <t xml:space="preserve">Choose which depreciation table best fits project. It's a drop down menue. </t>
        </r>
      </text>
    </comment>
    <comment ref="C72" authorId="0">
      <text>
        <r>
          <rPr>
            <b/>
            <sz val="9"/>
            <rFont val="Calibri"/>
            <family val="2"/>
          </rPr>
          <t>If flip year is 0, make sure equity ownership is 100% for pre and post flip.</t>
        </r>
        <r>
          <rPr>
            <sz val="9"/>
            <rFont val="Calibri"/>
            <family val="2"/>
          </rPr>
          <t xml:space="preserve">
</t>
        </r>
      </text>
    </comment>
    <comment ref="C62" authorId="0">
      <text>
        <r>
          <rPr>
            <b/>
            <sz val="9"/>
            <rFont val="Calibri"/>
            <family val="2"/>
          </rPr>
          <t>Insert # that is the expected rate of return by the equity investor</t>
        </r>
      </text>
    </comment>
    <comment ref="C68" authorId="0">
      <text>
        <r>
          <rPr>
            <b/>
            <sz val="9"/>
            <rFont val="Calibri"/>
            <family val="2"/>
          </rPr>
          <t>Insert # that is the expected rate of return by the equity investor.</t>
        </r>
      </text>
    </comment>
    <comment ref="B45" authorId="0">
      <text>
        <r>
          <rPr>
            <b/>
            <sz val="9"/>
            <rFont val="Calibri"/>
            <family val="2"/>
          </rPr>
          <t xml:space="preserve">Business rate primairly used in UK. </t>
        </r>
      </text>
    </comment>
    <comment ref="B30" authorId="0">
      <text>
        <r>
          <rPr>
            <sz val="9"/>
            <rFont val="Calibri"/>
            <family val="2"/>
          </rPr>
          <t xml:space="preserve">In US ETC, In UK EIS
</t>
        </r>
      </text>
    </comment>
  </commentList>
</comments>
</file>

<file path=xl/comments3.xml><?xml version="1.0" encoding="utf-8"?>
<comments xmlns="http://schemas.openxmlformats.org/spreadsheetml/2006/main">
  <authors>
    <author>Jonathan Mooney</author>
  </authors>
  <commentList>
    <comment ref="A38" authorId="0">
      <text>
        <r>
          <rPr>
            <b/>
            <sz val="9"/>
            <rFont val="Calibri"/>
            <family val="2"/>
          </rPr>
          <t>Jonathan Mooney:</t>
        </r>
        <r>
          <rPr>
            <sz val="9"/>
            <rFont val="Calibri"/>
            <family val="2"/>
          </rPr>
          <t xml:space="preserve">
Will Change as legislation changes</t>
        </r>
      </text>
    </comment>
    <comment ref="A19" authorId="0">
      <text>
        <r>
          <rPr>
            <sz val="9"/>
            <rFont val="Calibri"/>
            <family val="2"/>
          </rPr>
          <t>Tax expense primarily used UK&gt; Cost associated with Gross Income.</t>
        </r>
      </text>
    </comment>
  </commentList>
</comments>
</file>

<file path=xl/comments4.xml><?xml version="1.0" encoding="utf-8"?>
<comments xmlns="http://schemas.openxmlformats.org/spreadsheetml/2006/main">
  <authors>
    <author>Jonathan Mooney</author>
  </authors>
  <commentList>
    <comment ref="A32" authorId="0">
      <text>
        <r>
          <rPr>
            <b/>
            <sz val="9"/>
            <rFont val="Calibri"/>
            <family val="2"/>
          </rPr>
          <t>Jonathan Mooney:</t>
        </r>
        <r>
          <rPr>
            <sz val="9"/>
            <rFont val="Calibri"/>
            <family val="2"/>
          </rPr>
          <t xml:space="preserve">
</t>
        </r>
      </text>
    </comment>
    <comment ref="AA15" authorId="0">
      <text>
        <r>
          <rPr>
            <b/>
            <sz val="9"/>
            <rFont val="Calibri"/>
            <family val="2"/>
          </rPr>
          <t>Jonathan Mooney:</t>
        </r>
        <r>
          <rPr>
            <sz val="9"/>
            <rFont val="Calibri"/>
            <family val="2"/>
          </rPr>
          <t xml:space="preserve">
Salvage Value</t>
        </r>
      </text>
    </comment>
  </commentList>
</comments>
</file>

<file path=xl/sharedStrings.xml><?xml version="1.0" encoding="utf-8"?>
<sst xmlns="http://schemas.openxmlformats.org/spreadsheetml/2006/main" count="336" uniqueCount="197">
  <si>
    <t>Wind speed</t>
  </si>
  <si>
    <t>Turbine Costs</t>
  </si>
  <si>
    <t xml:space="preserve">Permitting Costs </t>
  </si>
  <si>
    <t>Shipping, construction, installation costs</t>
  </si>
  <si>
    <t>Total</t>
  </si>
  <si>
    <t>Availability</t>
  </si>
  <si>
    <t>ROI</t>
  </si>
  <si>
    <t>mph (m/s) at 10m agl</t>
  </si>
  <si>
    <t>Revenue</t>
  </si>
  <si>
    <t>Insurance</t>
  </si>
  <si>
    <t>Total Annual Operating Expenses</t>
  </si>
  <si>
    <t>Per Turbine</t>
  </si>
  <si>
    <t>Regulatory incentives</t>
  </si>
  <si>
    <t>Project Generation</t>
  </si>
  <si>
    <t>Number of Turbines</t>
  </si>
  <si>
    <t>Project Cost</t>
  </si>
  <si>
    <t>Operations and Maintenance</t>
  </si>
  <si>
    <t>Total Annual O&amp;M Costs</t>
  </si>
  <si>
    <t>Other Expenses</t>
  </si>
  <si>
    <t>Admin/Financial/Legal</t>
  </si>
  <si>
    <t>CAPITAL EXPENDITURES</t>
  </si>
  <si>
    <t>REVENUES</t>
  </si>
  <si>
    <t>Total Annual Revenues</t>
  </si>
  <si>
    <t>EXPENSES</t>
  </si>
  <si>
    <t>EBITDA</t>
  </si>
  <si>
    <t>Project Pro Forma</t>
  </si>
  <si>
    <t>Bird Studies (First 3 years Only)</t>
  </si>
  <si>
    <t>Per MWH</t>
  </si>
  <si>
    <t>Lease Payment to Landowner</t>
  </si>
  <si>
    <t xml:space="preserve">Decomm. Fund </t>
  </si>
  <si>
    <t>Year Start</t>
  </si>
  <si>
    <t>Year End</t>
  </si>
  <si>
    <t xml:space="preserve">Year Start </t>
  </si>
  <si>
    <t>Fixed Expenses</t>
  </si>
  <si>
    <t>Total Fixed Expenses</t>
  </si>
  <si>
    <t>Per kW</t>
  </si>
  <si>
    <t>70kW</t>
  </si>
  <si>
    <t>Project Debt</t>
  </si>
  <si>
    <t>Total Debt</t>
  </si>
  <si>
    <t>Debt Term in Years</t>
  </si>
  <si>
    <t>Interest Rate</t>
  </si>
  <si>
    <t>Annual Debt Payment</t>
  </si>
  <si>
    <t>Equity Investor Equity</t>
  </si>
  <si>
    <t>Equity Investor Discount Rate</t>
  </si>
  <si>
    <t>Equity Investor Tax Rate</t>
  </si>
  <si>
    <t>Equity Investor Required Rate of Return</t>
  </si>
  <si>
    <t>Project Financing</t>
  </si>
  <si>
    <t>Project Details</t>
  </si>
  <si>
    <t>Depreciation - Straight Line</t>
  </si>
  <si>
    <t>Net Book Value</t>
  </si>
  <si>
    <t>Year</t>
  </si>
  <si>
    <t>Beginning Value</t>
  </si>
  <si>
    <t>Annual Depreciation</t>
  </si>
  <si>
    <t>Debt Service Schedule</t>
  </si>
  <si>
    <t>Beginning Balance</t>
  </si>
  <si>
    <t>Interest Payment</t>
  </si>
  <si>
    <t>Principal Payment</t>
  </si>
  <si>
    <t>Ending Balance</t>
  </si>
  <si>
    <t>Total Project Installed Cost</t>
  </si>
  <si>
    <t>Site Based Labor</t>
  </si>
  <si>
    <t>Light &amp; Heat</t>
  </si>
  <si>
    <t>Security</t>
  </si>
  <si>
    <t>Repairs  YR 10</t>
  </si>
  <si>
    <t>Repairs YR 15</t>
  </si>
  <si>
    <t>Expected Annual Energy Production per Turbine at Site (kWh)</t>
  </si>
  <si>
    <t>ANNUAL REVENUE RATE</t>
  </si>
  <si>
    <t>Total Project Annual Energy Production (kWh)</t>
  </si>
  <si>
    <t>Month</t>
  </si>
  <si>
    <t>O&amp;M 10 &amp; 15 Yr Repair</t>
  </si>
  <si>
    <t>Annual % Rate</t>
  </si>
  <si>
    <t>Per Project</t>
  </si>
  <si>
    <t>%/$ of Revenue/MWH</t>
  </si>
  <si>
    <t>Depreciation Expense</t>
  </si>
  <si>
    <t>Debt Interest Expense</t>
  </si>
  <si>
    <t>Net Income</t>
  </si>
  <si>
    <t>AFTER-TAX CASH FLOWS</t>
  </si>
  <si>
    <t>Net After-Tax Project Cash Flow</t>
  </si>
  <si>
    <t>Year Begin</t>
  </si>
  <si>
    <t>Debt Principal Payment (-)</t>
  </si>
  <si>
    <t>Depreciation (+)</t>
  </si>
  <si>
    <t>Project Results</t>
  </si>
  <si>
    <t xml:space="preserve">IRR </t>
  </si>
  <si>
    <t xml:space="preserve">Net Present Value </t>
  </si>
  <si>
    <t>Income Taxes</t>
  </si>
  <si>
    <t>Project Name</t>
  </si>
  <si>
    <t>Project Owner</t>
  </si>
  <si>
    <t>Size of WHI Wind Turbine</t>
  </si>
  <si>
    <t>Project Summary</t>
  </si>
  <si>
    <t>Project Size (kW)</t>
  </si>
  <si>
    <t>Net Capacity Factor</t>
  </si>
  <si>
    <t xml:space="preserve">Total kWh Produced </t>
  </si>
  <si>
    <t>Annual Revenue Rate</t>
  </si>
  <si>
    <t>Per Year</t>
  </si>
  <si>
    <t xml:space="preserve">Change Cells in </t>
  </si>
  <si>
    <t>INCOME</t>
  </si>
  <si>
    <t>Annual Escalation %</t>
  </si>
  <si>
    <t>O&amp;M Contingency Fund</t>
  </si>
  <si>
    <t>Debt Service Coverage Ratio</t>
  </si>
  <si>
    <t>Debt Coverage</t>
  </si>
  <si>
    <t>PPA</t>
  </si>
  <si>
    <t>Other Income 1</t>
  </si>
  <si>
    <t>Other Income 2</t>
  </si>
  <si>
    <t>Depreciation</t>
  </si>
  <si>
    <t>Depreciation Years</t>
  </si>
  <si>
    <t>TAXES</t>
  </si>
  <si>
    <t>Extended Warranty</t>
  </si>
  <si>
    <t>Total Residual Value</t>
  </si>
  <si>
    <t>Equity &amp; Flip Structure</t>
  </si>
  <si>
    <t xml:space="preserve"> Year End</t>
  </si>
  <si>
    <t>Equity Investor #1</t>
  </si>
  <si>
    <t>Equity Investor #2</t>
  </si>
  <si>
    <t>Equity Investor #1 Required Rate of Return</t>
  </si>
  <si>
    <t>Equity Investor #1 ROI</t>
  </si>
  <si>
    <t>Equity Investor #1 IRR</t>
  </si>
  <si>
    <t>Equity Investor #1 NPV</t>
  </si>
  <si>
    <t>Equity Investor #2 Required Rate of Return</t>
  </si>
  <si>
    <t>Equity Investor #2 ROI</t>
  </si>
  <si>
    <t>Equity Investor #2 IRR</t>
  </si>
  <si>
    <t>Equity Investor #2 NPV</t>
  </si>
  <si>
    <t>Equity Investor #1 Income Tax Benefit/Liability</t>
  </si>
  <si>
    <t>Equity Investor #2 Income Tax Benefit/Liability</t>
  </si>
  <si>
    <t>Depreciation - Modified Accelerated Cost Recovery System</t>
  </si>
  <si>
    <t>Mid-Point of Year</t>
  </si>
  <si>
    <t>MACRS Schedule</t>
  </si>
  <si>
    <t>Ending Value</t>
  </si>
  <si>
    <t>Total Depreciation</t>
  </si>
  <si>
    <t>Type of Depreciation</t>
  </si>
  <si>
    <t>Straight-Line</t>
  </si>
  <si>
    <t>Residual Value</t>
  </si>
  <si>
    <r>
      <t>Residual Value</t>
    </r>
    <r>
      <rPr>
        <sz val="11"/>
        <rFont val="Calibri"/>
        <family val="2"/>
      </rPr>
      <t xml:space="preserve"> (% of original)</t>
    </r>
  </si>
  <si>
    <t>MACRS</t>
  </si>
  <si>
    <t>None</t>
  </si>
  <si>
    <t>Equity Investor #1 Ownership Percentage Pre-Flip</t>
  </si>
  <si>
    <t>Equity Investor #1 Ownership Percentage Post-Flip</t>
  </si>
  <si>
    <t>Equity Investor #2 Ownership Percentage Pre-Flip</t>
  </si>
  <si>
    <t>Equity Investor #2 Ownership Percentage Post-Flip</t>
  </si>
  <si>
    <t>Total Tax Benefit/Liability</t>
  </si>
  <si>
    <t>Total Tax Benefit/Liability (+)</t>
  </si>
  <si>
    <t>Flip Year</t>
  </si>
  <si>
    <t>PTC Utilized by Project</t>
  </si>
  <si>
    <t>Tax Credit #2 (PTC) ((kW/$)</t>
  </si>
  <si>
    <t>Amount</t>
  </si>
  <si>
    <t>Annual Escalation</t>
  </si>
  <si>
    <t>Total PTC</t>
  </si>
  <si>
    <t>PTC Credit</t>
  </si>
  <si>
    <t>Net After-Tax Project Cash Flow for Equity Investor #1</t>
  </si>
  <si>
    <t>Net After-Tax Project Cash Flow for Equity Investor #2</t>
  </si>
  <si>
    <t>Residual Payment</t>
  </si>
  <si>
    <t>Total Cash Flow</t>
  </si>
  <si>
    <t>Equity Investor #2 Investment</t>
  </si>
  <si>
    <t>Equity Investor #1 Investment</t>
  </si>
  <si>
    <t>Equity Investor #1 Flip Payment to Investor #1</t>
  </si>
  <si>
    <t>Equity Investor #2 Flip Investment</t>
  </si>
  <si>
    <t>Project Cost per kW</t>
  </si>
  <si>
    <t>Residual Value Flip Payment (Straight Line Dep-Debt Service Schedule)</t>
  </si>
  <si>
    <t>Cash Flow from Long Term Debt</t>
  </si>
  <si>
    <t xml:space="preserve">Project Investment </t>
  </si>
  <si>
    <t>Business Rate</t>
  </si>
  <si>
    <t>Taxes</t>
  </si>
  <si>
    <t>%</t>
  </si>
  <si>
    <t>Corporate Tax Rate</t>
  </si>
  <si>
    <t>Other Exp (e.g. lubricants)</t>
  </si>
  <si>
    <t>Ave O&amp;M per turbine</t>
  </si>
  <si>
    <t>Project IRR</t>
  </si>
  <si>
    <t>Project</t>
  </si>
  <si>
    <t>IRR</t>
  </si>
  <si>
    <t>Net Present Value</t>
  </si>
  <si>
    <t>Afer Tax-Cash Flow for Equity Investors</t>
  </si>
  <si>
    <t>Project Cash Flows</t>
  </si>
  <si>
    <t xml:space="preserve">Project </t>
  </si>
  <si>
    <t>Initial Project Cost</t>
  </si>
  <si>
    <t>Project Discount Rate</t>
  </si>
  <si>
    <t>Project ROI</t>
  </si>
  <si>
    <t>Project NPV</t>
  </si>
  <si>
    <t>Loan Amount</t>
  </si>
  <si>
    <t>Aggregate Cash Flow</t>
  </si>
  <si>
    <t>Original Investment</t>
  </si>
  <si>
    <t>Equity Investor #2 Cash Flow Break-Even</t>
  </si>
  <si>
    <t>Equity Investor #1 Cash Flow Break-Even</t>
  </si>
  <si>
    <t>Project Cash Flow Break-Even</t>
  </si>
  <si>
    <t>Opening Balance</t>
  </si>
  <si>
    <t>Closing Balance</t>
  </si>
  <si>
    <t>Tax Credit #1 ((%)</t>
  </si>
  <si>
    <t>Generic</t>
  </si>
  <si>
    <t xml:space="preserve">$/kWh </t>
  </si>
  <si>
    <t>with  CVE</t>
  </si>
  <si>
    <t>plus 18%</t>
  </si>
  <si>
    <t>Single</t>
  </si>
  <si>
    <t>G168 Annual Energy Output*</t>
  </si>
  <si>
    <t>*Not yet field verified on G168 v1.1</t>
  </si>
  <si>
    <t>Expenses*</t>
  </si>
  <si>
    <t>* All expenses are placeholders and are likely to vary greatly based on the project</t>
  </si>
  <si>
    <t>Copyright</t>
  </si>
  <si>
    <t>Creative Commons BY-SA</t>
  </si>
  <si>
    <t>This license lets others remix, tweak, and build upon your work even for commercial purposes, as long as they credit Wind Harvest International and license their new creations under the identical terms. This license is often compared to “copyleft” free and open source software licenses. All new works based on this original document  will carry the same license, so any derivatives will also allow commercial use. This is the license used by Wikipedia, and is recommended for materials that would benefit from incorporating content from Wikipedia and similarly licensed projects.</t>
  </si>
  <si>
    <t>https://creativecommons.org/licenses/by-sa/2.0/</t>
  </si>
  <si>
    <t>Primary Author and Developer of WHI's IRR Calculator - Jonathan Mooney, April 2014</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</si>
</sst>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quot;$&quot;#,##0.000"/>
    <numFmt numFmtId="175" formatCode="&quot;$&quot;#,##0.00"/>
    <numFmt numFmtId="176" formatCode="m/d/yy;@"/>
    <numFmt numFmtId="177" formatCode="&quot;$&quot;#,##0.0"/>
    <numFmt numFmtId="178" formatCode="#,##0;\(#,##0\)"/>
    <numFmt numFmtId="179" formatCode="&quot;£&quot;#,##0"/>
    <numFmt numFmtId="180" formatCode="&quot;£&quot;#,##0.00"/>
    <numFmt numFmtId="181" formatCode="&quot;£&quot;#,##0.000"/>
    <numFmt numFmtId="182" formatCode="[$£-809]#,##0"/>
    <numFmt numFmtId="183" formatCode="[$$-409]#,##0"/>
    <numFmt numFmtId="184" formatCode="[$$-409]#,##0.00"/>
    <numFmt numFmtId="185" formatCode="[$£-809]#,##0.00"/>
    <numFmt numFmtId="186" formatCode="#,##0.0"/>
    <numFmt numFmtId="187" formatCode="[$£-809]#,##0;\-[$£-809]#,##0"/>
    <numFmt numFmtId="188" formatCode="[$£-809]#,##0.0"/>
    <numFmt numFmtId="189" formatCode="[$£-809]#,##0.00;\-[$£-809]#,##0.00"/>
    <numFmt numFmtId="190" formatCode="[$£-809]#,##0.000"/>
    <numFmt numFmtId="191" formatCode="_-[$£-809]* #,##0_-;\-[$£-809]* #,##0_-;_-[$£-809]* &quot;-&quot;_-;_-@_-"/>
    <numFmt numFmtId="192" formatCode="0.0"/>
    <numFmt numFmtId="193" formatCode="#,##0.0_);\(#,##0.0\)"/>
    <numFmt numFmtId="194" formatCode="[$$-409]#,##0_);\([$$-409]#,##0\)"/>
    <numFmt numFmtId="195" formatCode="_(&quot;$&quot;* #,##0_);_(&quot;$&quot;* \(#,##0\);_(&quot;$&quot;* &quot;-&quot;??_);_(@_)"/>
    <numFmt numFmtId="196" formatCode="_-[$£-809]* #,##0.00_-;\-[$£-809]* #,##0.00_-;_-[$£-809]* &quot;-&quot;??_-;_-@_-"/>
    <numFmt numFmtId="197" formatCode="[$£-809]#,##0;[Red]\-[$£-809]#,##0"/>
    <numFmt numFmtId="198" formatCode="[$£-809]#,##0.00;[Red][$£-809]#,##0.00"/>
    <numFmt numFmtId="199" formatCode="0.000000000%"/>
    <numFmt numFmtId="200" formatCode="&quot;$&quot;#,##0.0000"/>
    <numFmt numFmtId="201" formatCode="0.000%"/>
    <numFmt numFmtId="202" formatCode="#,##0.000"/>
    <numFmt numFmtId="203" formatCode="_(&quot;$&quot;* #,##0.0_);_(&quot;$&quot;* \(#,##0.0\);_(&quot;$&quot;* &quot;-&quot;_);_(@_)"/>
    <numFmt numFmtId="204" formatCode="_(&quot;$&quot;* #,##0.00_);_(&quot;$&quot;* \(#,##0.00\);_(&quot;$&quot;* &quot;-&quot;_);_(@_)"/>
    <numFmt numFmtId="205" formatCode="0.0000%"/>
    <numFmt numFmtId="206" formatCode="&quot;$&quot;#,##0;[Red]&quot;$&quot;#,##0"/>
    <numFmt numFmtId="207" formatCode="_([$$-409]* #,##0.00_);_([$$-409]* \(#,##0.00\);_([$$-409]* &quot;-&quot;??_);_(@_)"/>
    <numFmt numFmtId="208" formatCode="_([$$-409]* #,##0_);_([$$-409]* \(#,##0\);_([$$-409]* &quot;-&quot;_);_(@_)"/>
    <numFmt numFmtId="209" formatCode="_(&quot;$&quot;* #,##0.0_);_(&quot;$&quot;* \(#,##0.0\);_(&quot;$&quot;* &quot;-&quot;??_);_(@_)"/>
    <numFmt numFmtId="210" formatCode="_(\$* #,##0_);_(\$* \(#,##0\);_(\$* &quot;-&quot;_);_(@_)"/>
  </numFmts>
  <fonts count="9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1"/>
      <name val="Calibri"/>
      <family val="2"/>
    </font>
    <font>
      <sz val="11"/>
      <color indexed="17"/>
      <name val="Calibri"/>
      <family val="2"/>
    </font>
    <font>
      <u val="single"/>
      <sz val="11"/>
      <color indexed="12"/>
      <name val="Calibri"/>
      <family val="2"/>
    </font>
    <font>
      <u val="single"/>
      <sz val="11"/>
      <color indexed="61"/>
      <name val="Calibri"/>
      <family val="2"/>
    </font>
    <font>
      <b/>
      <i/>
      <sz val="11"/>
      <color indexed="8"/>
      <name val="Calibri"/>
      <family val="0"/>
    </font>
    <font>
      <i/>
      <sz val="11"/>
      <color indexed="8"/>
      <name val="Calibri"/>
      <family val="2"/>
    </font>
    <font>
      <b/>
      <sz val="12"/>
      <name val="Arial"/>
      <family val="2"/>
    </font>
    <font>
      <sz val="9"/>
      <name val="Calibri"/>
      <family val="2"/>
    </font>
    <font>
      <b/>
      <sz val="9"/>
      <name val="Calibri"/>
      <family val="2"/>
    </font>
    <font>
      <sz val="10"/>
      <name val="Tahoma"/>
      <family val="2"/>
    </font>
    <font>
      <b/>
      <u val="single"/>
      <sz val="20"/>
      <color indexed="9"/>
      <name val="Arial"/>
      <family val="2"/>
    </font>
    <font>
      <sz val="8"/>
      <name val="Tahoma"/>
      <family val="0"/>
    </font>
    <font>
      <b/>
      <sz val="11"/>
      <name val="Calibri"/>
      <family val="0"/>
    </font>
    <font>
      <sz val="10"/>
      <name val="Garamond"/>
      <family val="0"/>
    </font>
    <font>
      <b/>
      <u val="single"/>
      <sz val="16"/>
      <name val="Arial"/>
      <family val="2"/>
    </font>
    <font>
      <sz val="10"/>
      <name val="Arial"/>
      <family val="2"/>
    </font>
    <font>
      <b/>
      <sz val="10"/>
      <name val="Arial"/>
      <family val="2"/>
    </font>
    <font>
      <b/>
      <u val="single"/>
      <sz val="10"/>
      <name val="Arial"/>
      <family val="2"/>
    </font>
    <font>
      <u val="single"/>
      <sz val="20"/>
      <color indexed="9"/>
      <name val="Arial"/>
      <family val="2"/>
    </font>
    <font>
      <sz val="12"/>
      <name val="Arial"/>
      <family val="0"/>
    </font>
    <font>
      <b/>
      <i/>
      <sz val="14"/>
      <name val="Calibri"/>
      <family val="0"/>
    </font>
    <font>
      <b/>
      <u val="single"/>
      <sz val="16"/>
      <color indexed="9"/>
      <name val="Arial"/>
      <family val="2"/>
    </font>
    <font>
      <sz val="9"/>
      <name val="Arial"/>
      <family val="2"/>
    </font>
    <font>
      <b/>
      <sz val="8"/>
      <name val="Arial"/>
      <family val="2"/>
    </font>
    <font>
      <sz val="10"/>
      <color indexed="8"/>
      <name val="Calibri"/>
      <family val="0"/>
    </font>
    <font>
      <b/>
      <sz val="10"/>
      <color indexed="8"/>
      <name val="Calibri"/>
      <family val="0"/>
    </font>
    <font>
      <sz val="9"/>
      <color indexed="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14"/>
      <color indexed="9"/>
      <name val="Calibri"/>
      <family val="0"/>
    </font>
    <font>
      <b/>
      <sz val="14"/>
      <color indexed="9"/>
      <name val="Calibri"/>
      <family val="0"/>
    </font>
    <font>
      <sz val="14"/>
      <color indexed="9"/>
      <name val="Calibri"/>
      <family val="0"/>
    </font>
    <font>
      <b/>
      <sz val="12"/>
      <name val="Calibri"/>
      <family val="0"/>
    </font>
    <font>
      <b/>
      <sz val="11"/>
      <color indexed="9"/>
      <name val="Calibri"/>
      <family val="2"/>
    </font>
    <font>
      <b/>
      <u val="single"/>
      <sz val="12"/>
      <color indexed="9"/>
      <name val="Calibri"/>
      <family val="0"/>
    </font>
    <font>
      <b/>
      <u val="single"/>
      <sz val="20"/>
      <color indexed="9"/>
      <name val="Calibri"/>
      <family val="0"/>
    </font>
    <font>
      <sz val="12"/>
      <name val="Calibri"/>
      <family val="0"/>
    </font>
    <font>
      <b/>
      <i/>
      <sz val="12"/>
      <name val="Calibri"/>
      <family val="0"/>
    </font>
    <font>
      <b/>
      <sz val="12"/>
      <color indexed="10"/>
      <name val="Calibri"/>
      <family val="0"/>
    </font>
    <font>
      <sz val="11"/>
      <color indexed="10"/>
      <name val="Calibri"/>
      <family val="2"/>
    </font>
    <font>
      <b/>
      <i/>
      <sz val="14"/>
      <color indexed="8"/>
      <name val="Calibri"/>
      <family val="0"/>
    </font>
    <font>
      <b/>
      <sz val="18"/>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i/>
      <sz val="14"/>
      <color theme="0"/>
      <name val="Calibri"/>
      <family val="0"/>
    </font>
    <font>
      <b/>
      <sz val="14"/>
      <color theme="0"/>
      <name val="Calibri"/>
      <family val="0"/>
    </font>
    <font>
      <sz val="14"/>
      <color theme="0"/>
      <name val="Calibri"/>
      <family val="0"/>
    </font>
    <font>
      <b/>
      <sz val="11"/>
      <color theme="0"/>
      <name val="Calibri"/>
      <family val="2"/>
    </font>
    <font>
      <b/>
      <u val="single"/>
      <sz val="20"/>
      <color theme="0"/>
      <name val="Calibri"/>
      <family val="0"/>
    </font>
    <font>
      <b/>
      <u val="single"/>
      <sz val="12"/>
      <color theme="0"/>
      <name val="Calibri"/>
      <family val="0"/>
    </font>
    <font>
      <b/>
      <sz val="12"/>
      <color rgb="FFFF0000"/>
      <name val="Calibri"/>
      <family val="0"/>
    </font>
    <font>
      <sz val="11"/>
      <color rgb="FFFF0000"/>
      <name val="Calibri"/>
      <family val="2"/>
    </font>
    <font>
      <b/>
      <i/>
      <sz val="14"/>
      <color theme="1"/>
      <name val="Calibri"/>
      <family val="0"/>
    </font>
    <font>
      <b/>
      <sz val="11"/>
      <color theme="1"/>
      <name val="Calibri"/>
      <family val="0"/>
    </font>
    <font>
      <sz val="11"/>
      <color theme="1"/>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7"/>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style="medium"/>
    </border>
    <border>
      <left style="thin"/>
      <right style="thin"/>
      <top style="double"/>
      <bottom style="double"/>
    </border>
    <border>
      <left>
        <color indexed="63"/>
      </left>
      <right style="thin"/>
      <top style="thin"/>
      <bottom style="thin"/>
    </border>
    <border>
      <left>
        <color indexed="63"/>
      </left>
      <right style="thin"/>
      <top>
        <color indexed="63"/>
      </top>
      <bottom>
        <color indexed="63"/>
      </bottom>
    </border>
    <border>
      <left style="medium"/>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8"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85">
    <xf numFmtId="0" fontId="0" fillId="0" borderId="0" xfId="0" applyAlignment="1">
      <alignment/>
    </xf>
    <xf numFmtId="172" fontId="0" fillId="0" borderId="0" xfId="0" applyNumberFormat="1" applyAlignment="1">
      <alignment horizontal="center"/>
    </xf>
    <xf numFmtId="0" fontId="4" fillId="0" borderId="0" xfId="0" applyFont="1" applyAlignment="1">
      <alignment/>
    </xf>
    <xf numFmtId="178" fontId="0" fillId="0" borderId="0" xfId="0" applyNumberFormat="1" applyAlignment="1">
      <alignment/>
    </xf>
    <xf numFmtId="178" fontId="4" fillId="0" borderId="0" xfId="0" applyNumberFormat="1" applyFont="1" applyAlignment="1">
      <alignment/>
    </xf>
    <xf numFmtId="178" fontId="9" fillId="0" borderId="0" xfId="0" applyNumberFormat="1" applyFont="1" applyAlignment="1">
      <alignment/>
    </xf>
    <xf numFmtId="0" fontId="0" fillId="0" borderId="0" xfId="0" applyFill="1" applyAlignment="1">
      <alignment/>
    </xf>
    <xf numFmtId="178" fontId="0" fillId="0" borderId="0" xfId="0" applyNumberFormat="1" applyAlignment="1">
      <alignment horizontal="center"/>
    </xf>
    <xf numFmtId="182" fontId="0" fillId="0" borderId="0" xfId="0" applyNumberFormat="1" applyBorder="1" applyAlignment="1">
      <alignment horizontal="center"/>
    </xf>
    <xf numFmtId="178" fontId="0" fillId="0" borderId="0" xfId="0" applyNumberFormat="1" applyBorder="1" applyAlignment="1">
      <alignment horizontal="center"/>
    </xf>
    <xf numFmtId="184" fontId="0" fillId="0" borderId="0" xfId="0" applyNumberFormat="1" applyAlignment="1">
      <alignment horizontal="center"/>
    </xf>
    <xf numFmtId="186" fontId="0" fillId="0" borderId="10" xfId="0" applyNumberFormat="1" applyBorder="1" applyAlignment="1">
      <alignment horizontal="center"/>
    </xf>
    <xf numFmtId="3" fontId="0" fillId="0" borderId="10" xfId="0" applyNumberFormat="1" applyBorder="1" applyAlignment="1">
      <alignment horizontal="center"/>
    </xf>
    <xf numFmtId="186" fontId="5" fillId="0" borderId="10" xfId="0" applyNumberFormat="1" applyFont="1" applyBorder="1" applyAlignment="1">
      <alignment horizontal="center"/>
    </xf>
    <xf numFmtId="3" fontId="6" fillId="0" borderId="10" xfId="0" applyNumberFormat="1" applyFont="1" applyBorder="1" applyAlignment="1">
      <alignment horizontal="center"/>
    </xf>
    <xf numFmtId="175" fontId="0" fillId="0" borderId="0" xfId="0" applyNumberFormat="1" applyAlignment="1">
      <alignment horizontal="center"/>
    </xf>
    <xf numFmtId="0" fontId="0" fillId="0" borderId="0" xfId="0" applyFont="1" applyAlignment="1">
      <alignment/>
    </xf>
    <xf numFmtId="3" fontId="0" fillId="0" borderId="10" xfId="0" applyNumberFormat="1" applyFont="1" applyBorder="1" applyAlignment="1">
      <alignment horizontal="center"/>
    </xf>
    <xf numFmtId="0" fontId="4" fillId="0" borderId="10" xfId="0" applyFont="1" applyBorder="1" applyAlignment="1">
      <alignment/>
    </xf>
    <xf numFmtId="0" fontId="0" fillId="0" borderId="10" xfId="0" applyBorder="1" applyAlignment="1">
      <alignment horizontal="center"/>
    </xf>
    <xf numFmtId="178" fontId="0" fillId="2" borderId="10" xfId="0" applyNumberFormat="1" applyFill="1" applyBorder="1" applyAlignment="1">
      <alignment horizontal="center"/>
    </xf>
    <xf numFmtId="10" fontId="0" fillId="2" borderId="10" xfId="0" applyNumberFormat="1" applyFill="1" applyBorder="1" applyAlignment="1">
      <alignment horizontal="center"/>
    </xf>
    <xf numFmtId="0" fontId="0" fillId="0" borderId="10" xfId="0" applyFont="1" applyBorder="1" applyAlignment="1">
      <alignment horizontal="center"/>
    </xf>
    <xf numFmtId="178" fontId="0" fillId="0" borderId="10" xfId="0" applyNumberFormat="1" applyFill="1" applyBorder="1" applyAlignment="1">
      <alignment horizontal="center"/>
    </xf>
    <xf numFmtId="1" fontId="0" fillId="0" borderId="0" xfId="0" applyNumberFormat="1" applyAlignment="1">
      <alignment/>
    </xf>
    <xf numFmtId="182" fontId="0" fillId="0" borderId="0" xfId="0" applyNumberFormat="1" applyFill="1" applyBorder="1" applyAlignment="1">
      <alignment horizontal="center"/>
    </xf>
    <xf numFmtId="9" fontId="0" fillId="2" borderId="10" xfId="0" applyNumberFormat="1" applyFill="1" applyBorder="1" applyAlignment="1">
      <alignment horizontal="center"/>
    </xf>
    <xf numFmtId="9" fontId="0" fillId="0" borderId="0" xfId="0" applyNumberFormat="1" applyFill="1" applyBorder="1" applyAlignment="1">
      <alignment horizontal="center"/>
    </xf>
    <xf numFmtId="3" fontId="0" fillId="2" borderId="10" xfId="0" applyNumberFormat="1" applyFont="1" applyFill="1" applyBorder="1" applyAlignment="1">
      <alignment horizontal="center"/>
    </xf>
    <xf numFmtId="1" fontId="4" fillId="0" borderId="0" xfId="0" applyNumberFormat="1" applyFont="1" applyAlignment="1">
      <alignment/>
    </xf>
    <xf numFmtId="0" fontId="0" fillId="0" borderId="10" xfId="0" applyBorder="1" applyAlignment="1">
      <alignment/>
    </xf>
    <xf numFmtId="178" fontId="0" fillId="0" borderId="10" xfId="0" applyNumberFormat="1" applyBorder="1" applyAlignment="1">
      <alignment horizontal="center"/>
    </xf>
    <xf numFmtId="1" fontId="4" fillId="0" borderId="10" xfId="0" applyNumberFormat="1" applyFont="1" applyBorder="1" applyAlignment="1">
      <alignment/>
    </xf>
    <xf numFmtId="0" fontId="0" fillId="0" borderId="10" xfId="0" applyFill="1" applyBorder="1" applyAlignment="1">
      <alignment/>
    </xf>
    <xf numFmtId="178" fontId="4" fillId="0" borderId="10" xfId="0" applyNumberFormat="1" applyFont="1" applyBorder="1" applyAlignment="1">
      <alignment/>
    </xf>
    <xf numFmtId="178" fontId="0" fillId="0" borderId="11" xfId="0" applyNumberFormat="1" applyBorder="1" applyAlignment="1">
      <alignment horizontal="center"/>
    </xf>
    <xf numFmtId="178" fontId="0" fillId="0" borderId="10" xfId="0" applyNumberFormat="1" applyBorder="1" applyAlignment="1">
      <alignment/>
    </xf>
    <xf numFmtId="178" fontId="4" fillId="0" borderId="12" xfId="0" applyNumberFormat="1" applyFont="1" applyBorder="1" applyAlignment="1">
      <alignment/>
    </xf>
    <xf numFmtId="1" fontId="4" fillId="0" borderId="12" xfId="0" applyNumberFormat="1" applyFont="1" applyBorder="1" applyAlignment="1">
      <alignment/>
    </xf>
    <xf numFmtId="182" fontId="4" fillId="0" borderId="0" xfId="0" applyNumberFormat="1" applyFont="1" applyBorder="1" applyAlignment="1">
      <alignment horizontal="center"/>
    </xf>
    <xf numFmtId="1" fontId="0" fillId="2" borderId="10" xfId="0" applyNumberFormat="1" applyFill="1" applyBorder="1" applyAlignment="1">
      <alignment horizontal="center"/>
    </xf>
    <xf numFmtId="1" fontId="0" fillId="2" borderId="10" xfId="0" applyNumberFormat="1" applyFill="1" applyBorder="1" applyAlignment="1">
      <alignment horizontal="center"/>
    </xf>
    <xf numFmtId="0" fontId="0" fillId="33" borderId="10" xfId="0" applyFill="1" applyBorder="1" applyAlignment="1">
      <alignment/>
    </xf>
    <xf numFmtId="10" fontId="0" fillId="2" borderId="10" xfId="0" applyNumberFormat="1" applyFill="1" applyBorder="1" applyAlignment="1">
      <alignment horizontal="center"/>
    </xf>
    <xf numFmtId="178" fontId="0" fillId="33" borderId="10" xfId="0" applyNumberFormat="1" applyFill="1" applyBorder="1" applyAlignment="1">
      <alignment horizontal="center"/>
    </xf>
    <xf numFmtId="0" fontId="0" fillId="33" borderId="12" xfId="0" applyFill="1" applyBorder="1" applyAlignment="1">
      <alignment/>
    </xf>
    <xf numFmtId="178" fontId="0" fillId="33" borderId="12" xfId="0" applyNumberFormat="1" applyFill="1" applyBorder="1" applyAlignment="1">
      <alignment horizontal="center"/>
    </xf>
    <xf numFmtId="0" fontId="0" fillId="2" borderId="10" xfId="0" applyFill="1" applyBorder="1" applyAlignment="1">
      <alignment/>
    </xf>
    <xf numFmtId="0" fontId="4" fillId="0" borderId="10" xfId="0" applyFont="1" applyBorder="1" applyAlignment="1">
      <alignment horizontal="center"/>
    </xf>
    <xf numFmtId="178" fontId="0" fillId="0" borderId="10" xfId="0" applyNumberFormat="1" applyFont="1" applyBorder="1" applyAlignment="1">
      <alignment/>
    </xf>
    <xf numFmtId="173" fontId="0" fillId="0" borderId="10" xfId="0" applyNumberFormat="1" applyFill="1" applyBorder="1" applyAlignment="1">
      <alignment horizontal="center"/>
    </xf>
    <xf numFmtId="3" fontId="0" fillId="33" borderId="10" xfId="0" applyNumberFormat="1" applyFill="1" applyBorder="1" applyAlignment="1">
      <alignment horizontal="center"/>
    </xf>
    <xf numFmtId="182" fontId="0" fillId="0" borderId="11" xfId="0" applyNumberFormat="1" applyBorder="1" applyAlignment="1">
      <alignment horizontal="center"/>
    </xf>
    <xf numFmtId="182" fontId="4" fillId="0" borderId="11" xfId="0" applyNumberFormat="1" applyFont="1" applyBorder="1" applyAlignment="1">
      <alignment horizontal="center"/>
    </xf>
    <xf numFmtId="178" fontId="0" fillId="0" borderId="0" xfId="0" applyNumberFormat="1" applyFill="1" applyAlignment="1">
      <alignment wrapText="1"/>
    </xf>
    <xf numFmtId="195" fontId="5" fillId="34" borderId="10" xfId="44" applyNumberFormat="1"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17" fillId="0" borderId="0" xfId="0" applyFont="1" applyFill="1" applyBorder="1" applyAlignment="1" applyProtection="1">
      <alignment horizontal="center"/>
      <protection/>
    </xf>
    <xf numFmtId="9" fontId="5" fillId="2" borderId="10" xfId="44" applyNumberFormat="1" applyFont="1" applyFill="1" applyBorder="1" applyAlignment="1" applyProtection="1">
      <alignment/>
      <protection locked="0"/>
    </xf>
    <xf numFmtId="0" fontId="5" fillId="0" borderId="10" xfId="0" applyFont="1" applyBorder="1" applyAlignment="1" applyProtection="1">
      <alignment/>
      <protection/>
    </xf>
    <xf numFmtId="1" fontId="5" fillId="2" borderId="10" xfId="44" applyNumberFormat="1" applyFont="1" applyFill="1" applyBorder="1" applyAlignment="1" applyProtection="1">
      <alignment/>
      <protection locked="0"/>
    </xf>
    <xf numFmtId="0" fontId="5" fillId="34" borderId="10" xfId="0" applyFont="1" applyFill="1" applyBorder="1" applyAlignment="1" applyProtection="1">
      <alignment horizontal="right"/>
      <protection/>
    </xf>
    <xf numFmtId="182" fontId="0" fillId="35" borderId="0" xfId="0" applyNumberFormat="1" applyFill="1" applyBorder="1" applyAlignment="1">
      <alignment horizontal="center"/>
    </xf>
    <xf numFmtId="178" fontId="0" fillId="35" borderId="0" xfId="0" applyNumberFormat="1" applyFill="1" applyAlignment="1">
      <alignment horizontal="center"/>
    </xf>
    <xf numFmtId="1" fontId="0" fillId="35" borderId="0" xfId="0" applyNumberFormat="1" applyFill="1" applyAlignment="1">
      <alignment/>
    </xf>
    <xf numFmtId="0" fontId="0" fillId="35" borderId="0" xfId="0" applyFill="1" applyAlignment="1">
      <alignment/>
    </xf>
    <xf numFmtId="178" fontId="79" fillId="35" borderId="0" xfId="0" applyNumberFormat="1" applyFont="1" applyFill="1" applyAlignment="1">
      <alignment/>
    </xf>
    <xf numFmtId="0" fontId="80" fillId="35" borderId="0" xfId="0" applyFont="1" applyFill="1" applyAlignment="1">
      <alignment/>
    </xf>
    <xf numFmtId="178" fontId="80" fillId="35" borderId="0" xfId="0" applyNumberFormat="1" applyFont="1" applyFill="1" applyAlignment="1">
      <alignment horizontal="center"/>
    </xf>
    <xf numFmtId="1" fontId="80" fillId="35" borderId="0" xfId="0" applyNumberFormat="1" applyFont="1" applyFill="1" applyAlignment="1">
      <alignment/>
    </xf>
    <xf numFmtId="9" fontId="5" fillId="2" borderId="10" xfId="0" applyNumberFormat="1" applyFont="1" applyFill="1" applyBorder="1" applyAlignment="1" applyProtection="1">
      <alignment/>
      <protection locked="0"/>
    </xf>
    <xf numFmtId="178" fontId="80" fillId="35" borderId="0" xfId="0" applyNumberFormat="1" applyFont="1" applyFill="1" applyAlignment="1">
      <alignment horizontal="center" wrapText="1"/>
    </xf>
    <xf numFmtId="0" fontId="81" fillId="35" borderId="0" xfId="0" applyFont="1" applyFill="1" applyAlignment="1">
      <alignment/>
    </xf>
    <xf numFmtId="0" fontId="79" fillId="35" borderId="0" xfId="0" applyFont="1" applyFill="1" applyBorder="1" applyAlignment="1">
      <alignment horizontal="center"/>
    </xf>
    <xf numFmtId="0" fontId="79" fillId="35" borderId="0" xfId="0" applyFont="1" applyFill="1" applyAlignment="1">
      <alignment/>
    </xf>
    <xf numFmtId="186" fontId="79" fillId="35" borderId="0" xfId="0" applyNumberFormat="1" applyFont="1" applyFill="1" applyBorder="1" applyAlignment="1">
      <alignment horizontal="center"/>
    </xf>
    <xf numFmtId="3" fontId="79" fillId="35" borderId="0" xfId="0" applyNumberFormat="1" applyFont="1" applyFill="1" applyBorder="1" applyAlignment="1">
      <alignment horizontal="center"/>
    </xf>
    <xf numFmtId="178" fontId="4" fillId="0" borderId="10" xfId="0" applyNumberFormat="1" applyFont="1" applyBorder="1" applyAlignment="1">
      <alignment horizontal="center"/>
    </xf>
    <xf numFmtId="0" fontId="17" fillId="0" borderId="10" xfId="0" applyFont="1" applyBorder="1" applyAlignment="1" applyProtection="1">
      <alignment/>
      <protection/>
    </xf>
    <xf numFmtId="0" fontId="5" fillId="0" borderId="10" xfId="0" applyFont="1" applyBorder="1" applyAlignment="1" applyProtection="1">
      <alignment/>
      <protection/>
    </xf>
    <xf numFmtId="0" fontId="17" fillId="0" borderId="10" xfId="0" applyFont="1" applyBorder="1" applyAlignment="1" applyProtection="1">
      <alignment horizontal="center"/>
      <protection/>
    </xf>
    <xf numFmtId="0" fontId="19" fillId="0" borderId="13" xfId="57" applyFont="1" applyFill="1" applyBorder="1" applyAlignment="1" applyProtection="1">
      <alignment/>
      <protection/>
    </xf>
    <xf numFmtId="0" fontId="20" fillId="0" borderId="14" xfId="57" applyFont="1" applyBorder="1" applyProtection="1">
      <alignment/>
      <protection/>
    </xf>
    <xf numFmtId="0" fontId="21" fillId="0" borderId="14" xfId="57" applyFont="1" applyBorder="1" applyAlignment="1" applyProtection="1">
      <alignment horizontal="right"/>
      <protection/>
    </xf>
    <xf numFmtId="0" fontId="21" fillId="0" borderId="14" xfId="0" applyFont="1" applyBorder="1" applyAlignment="1" applyProtection="1">
      <alignment horizontal="right"/>
      <protection/>
    </xf>
    <xf numFmtId="0" fontId="20" fillId="0" borderId="15" xfId="57" applyFont="1" applyBorder="1" applyProtection="1">
      <alignment/>
      <protection/>
    </xf>
    <xf numFmtId="0" fontId="19" fillId="0" borderId="13" xfId="57" applyFont="1" applyBorder="1" applyProtection="1">
      <alignment/>
      <protection/>
    </xf>
    <xf numFmtId="0" fontId="22" fillId="0" borderId="0" xfId="0" applyFont="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6" xfId="0" applyFont="1" applyBorder="1" applyAlignment="1" applyProtection="1">
      <alignment horizontal="center"/>
      <protection/>
    </xf>
    <xf numFmtId="0" fontId="11" fillId="0" borderId="0" xfId="0" applyFont="1" applyAlignment="1">
      <alignment horizontal="center"/>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6" xfId="0" applyBorder="1" applyAlignment="1">
      <alignment/>
    </xf>
    <xf numFmtId="0" fontId="0" fillId="0" borderId="19" xfId="0" applyBorder="1" applyAlignment="1">
      <alignment/>
    </xf>
    <xf numFmtId="0" fontId="0" fillId="0" borderId="20" xfId="0" applyBorder="1" applyAlignment="1">
      <alignment/>
    </xf>
    <xf numFmtId="191" fontId="0" fillId="0" borderId="0" xfId="0" applyNumberFormat="1" applyBorder="1" applyAlignment="1">
      <alignment/>
    </xf>
    <xf numFmtId="191" fontId="0" fillId="0" borderId="0" xfId="0" applyNumberFormat="1" applyAlignment="1">
      <alignment/>
    </xf>
    <xf numFmtId="1" fontId="5" fillId="2" borderId="10" xfId="44" applyNumberFormat="1" applyFont="1" applyFill="1" applyBorder="1" applyAlignment="1" applyProtection="1">
      <alignment/>
      <protection/>
    </xf>
    <xf numFmtId="178" fontId="79" fillId="0" borderId="0" xfId="0" applyNumberFormat="1" applyFont="1" applyFill="1" applyAlignment="1">
      <alignment/>
    </xf>
    <xf numFmtId="178" fontId="80" fillId="0" borderId="0" xfId="0" applyNumberFormat="1" applyFont="1" applyFill="1" applyAlignment="1">
      <alignment horizontal="center"/>
    </xf>
    <xf numFmtId="0" fontId="81" fillId="0" borderId="0" xfId="0" applyFont="1" applyFill="1" applyAlignment="1">
      <alignment/>
    </xf>
    <xf numFmtId="3" fontId="0" fillId="0" borderId="0" xfId="60" applyNumberFormat="1" applyFont="1" applyFill="1" applyBorder="1" applyAlignment="1">
      <alignment horizontal="center"/>
    </xf>
    <xf numFmtId="9" fontId="0" fillId="2" borderId="10" xfId="60" applyFont="1" applyFill="1" applyBorder="1" applyAlignment="1">
      <alignment horizontal="center"/>
    </xf>
    <xf numFmtId="9" fontId="0" fillId="2" borderId="10" xfId="0" applyNumberFormat="1" applyFill="1" applyBorder="1" applyAlignment="1">
      <alignment horizontal="center"/>
    </xf>
    <xf numFmtId="0" fontId="0" fillId="33" borderId="10" xfId="0" applyFill="1" applyBorder="1" applyAlignment="1">
      <alignment/>
    </xf>
    <xf numFmtId="0" fontId="4" fillId="0" borderId="10" xfId="0" applyFont="1" applyBorder="1" applyAlignment="1">
      <alignment wrapText="1"/>
    </xf>
    <xf numFmtId="185" fontId="0" fillId="33" borderId="10" xfId="0" applyNumberFormat="1" applyFill="1" applyBorder="1" applyAlignment="1">
      <alignment horizontal="center"/>
    </xf>
    <xf numFmtId="0" fontId="0" fillId="0" borderId="12" xfId="0" applyBorder="1" applyAlignment="1">
      <alignment horizontal="center"/>
    </xf>
    <xf numFmtId="0" fontId="0" fillId="0" borderId="12" xfId="0" applyBorder="1" applyAlignment="1">
      <alignment/>
    </xf>
    <xf numFmtId="0" fontId="17" fillId="6" borderId="0" xfId="0" applyFont="1" applyFill="1" applyAlignment="1">
      <alignment horizontal="center"/>
    </xf>
    <xf numFmtId="0" fontId="4" fillId="6" borderId="0" xfId="0" applyFont="1" applyFill="1" applyAlignment="1">
      <alignment horizontal="center"/>
    </xf>
    <xf numFmtId="0" fontId="0" fillId="0" borderId="0" xfId="0" applyFont="1" applyAlignment="1">
      <alignment/>
    </xf>
    <xf numFmtId="0" fontId="5" fillId="6" borderId="0" xfId="0" applyFont="1" applyFill="1" applyAlignment="1">
      <alignment/>
    </xf>
    <xf numFmtId="0" fontId="0" fillId="6" borderId="0" xfId="0" applyFont="1" applyFill="1" applyAlignment="1">
      <alignment/>
    </xf>
    <xf numFmtId="191" fontId="52" fillId="0" borderId="0" xfId="0" applyNumberFormat="1" applyFont="1" applyFill="1" applyBorder="1" applyAlignment="1">
      <alignment horizontal="right"/>
    </xf>
    <xf numFmtId="191" fontId="52" fillId="0" borderId="0" xfId="0" applyNumberFormat="1" applyFont="1" applyFill="1" applyBorder="1" applyAlignment="1">
      <alignment horizontal="left"/>
    </xf>
    <xf numFmtId="191" fontId="52" fillId="0" borderId="21" xfId="0" applyNumberFormat="1" applyFont="1" applyFill="1" applyBorder="1" applyAlignment="1">
      <alignment horizontal="left"/>
    </xf>
    <xf numFmtId="178" fontId="4" fillId="0" borderId="10" xfId="0" applyNumberFormat="1" applyFont="1" applyBorder="1" applyAlignment="1">
      <alignment horizontal="center" wrapText="1"/>
    </xf>
    <xf numFmtId="0" fontId="4" fillId="0" borderId="10" xfId="0" applyFont="1" applyBorder="1" applyAlignment="1">
      <alignment horizontal="center" wrapText="1"/>
    </xf>
    <xf numFmtId="0" fontId="0" fillId="33" borderId="12" xfId="0" applyFill="1" applyBorder="1" applyAlignment="1">
      <alignment/>
    </xf>
    <xf numFmtId="0" fontId="0" fillId="4" borderId="0" xfId="0" applyFont="1" applyFill="1" applyAlignment="1">
      <alignment/>
    </xf>
    <xf numFmtId="44" fontId="47" fillId="0" borderId="0" xfId="0" applyNumberFormat="1" applyFont="1" applyFill="1" applyBorder="1" applyAlignment="1">
      <alignment horizontal="left"/>
    </xf>
    <xf numFmtId="191" fontId="52" fillId="0" borderId="22" xfId="0" applyNumberFormat="1" applyFont="1" applyFill="1" applyBorder="1" applyAlignment="1">
      <alignment horizontal="right"/>
    </xf>
    <xf numFmtId="0" fontId="82"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191" fontId="0" fillId="0" borderId="0" xfId="0" applyNumberFormat="1" applyFont="1" applyFill="1" applyBorder="1" applyAlignment="1">
      <alignment/>
    </xf>
    <xf numFmtId="191" fontId="0" fillId="0" borderId="0" xfId="0" applyNumberFormat="1" applyFont="1" applyFill="1" applyAlignment="1">
      <alignment/>
    </xf>
    <xf numFmtId="191" fontId="0" fillId="0" borderId="22" xfId="0" applyNumberFormat="1" applyFont="1" applyFill="1" applyBorder="1" applyAlignment="1">
      <alignment/>
    </xf>
    <xf numFmtId="191" fontId="4" fillId="0" borderId="0" xfId="0" applyNumberFormat="1" applyFont="1" applyFill="1" applyAlignment="1">
      <alignment/>
    </xf>
    <xf numFmtId="44" fontId="52" fillId="0" borderId="0" xfId="0" applyNumberFormat="1" applyFont="1" applyFill="1" applyBorder="1" applyAlignment="1">
      <alignment horizontal="left"/>
    </xf>
    <xf numFmtId="0" fontId="0" fillId="2" borderId="10" xfId="0" applyFill="1" applyBorder="1" applyAlignment="1">
      <alignment/>
    </xf>
    <xf numFmtId="0" fontId="5" fillId="0" borderId="0" xfId="0" applyFont="1" applyFill="1" applyAlignment="1">
      <alignment/>
    </xf>
    <xf numFmtId="9" fontId="0" fillId="2" borderId="10" xfId="60" applyFont="1" applyFill="1" applyBorder="1" applyAlignment="1">
      <alignment/>
    </xf>
    <xf numFmtId="0" fontId="82" fillId="35" borderId="22" xfId="0" applyFont="1" applyFill="1" applyBorder="1" applyAlignment="1">
      <alignment horizontal="center"/>
    </xf>
    <xf numFmtId="0" fontId="54" fillId="35" borderId="0" xfId="0" applyFont="1" applyFill="1" applyBorder="1" applyAlignment="1">
      <alignment horizontal="left"/>
    </xf>
    <xf numFmtId="0" fontId="0" fillId="35" borderId="0" xfId="0" applyFont="1" applyFill="1" applyAlignment="1">
      <alignment/>
    </xf>
    <xf numFmtId="0" fontId="5" fillId="35" borderId="0" xfId="0" applyFont="1" applyFill="1" applyAlignment="1">
      <alignment/>
    </xf>
    <xf numFmtId="191" fontId="54" fillId="35" borderId="0" xfId="0" applyNumberFormat="1" applyFont="1" applyFill="1" applyBorder="1" applyAlignment="1">
      <alignment horizontal="left"/>
    </xf>
    <xf numFmtId="191" fontId="0" fillId="35" borderId="0" xfId="0" applyNumberFormat="1" applyFont="1" applyFill="1" applyAlignment="1">
      <alignment/>
    </xf>
    <xf numFmtId="191" fontId="5" fillId="35" borderId="0" xfId="0" applyNumberFormat="1" applyFont="1" applyFill="1" applyAlignment="1">
      <alignment/>
    </xf>
    <xf numFmtId="44" fontId="54" fillId="35" borderId="0" xfId="0" applyNumberFormat="1" applyFont="1" applyFill="1" applyBorder="1" applyAlignment="1">
      <alignment horizontal="left"/>
    </xf>
    <xf numFmtId="0" fontId="83" fillId="35" borderId="0" xfId="0" applyFont="1" applyFill="1" applyAlignment="1">
      <alignment horizontal="left"/>
    </xf>
    <xf numFmtId="0" fontId="52" fillId="0" borderId="0" xfId="0" applyFont="1" applyFill="1" applyBorder="1" applyAlignment="1">
      <alignment horizontal="left"/>
    </xf>
    <xf numFmtId="191" fontId="5" fillId="0" borderId="0" xfId="0" applyNumberFormat="1" applyFont="1" applyFill="1" applyAlignment="1">
      <alignment/>
    </xf>
    <xf numFmtId="191" fontId="52" fillId="0" borderId="0" xfId="0" applyNumberFormat="1" applyFont="1" applyFill="1" applyBorder="1" applyAlignment="1" quotePrefix="1">
      <alignment horizontal="left"/>
    </xf>
    <xf numFmtId="44" fontId="47" fillId="0" borderId="0" xfId="0" applyNumberFormat="1" applyFont="1" applyFill="1" applyAlignment="1">
      <alignment/>
    </xf>
    <xf numFmtId="9" fontId="0" fillId="0" borderId="0" xfId="60" applyFont="1" applyFill="1" applyAlignment="1">
      <alignment/>
    </xf>
    <xf numFmtId="44" fontId="32" fillId="0" borderId="0" xfId="0" applyNumberFormat="1" applyFont="1" applyFill="1" applyAlignment="1">
      <alignment/>
    </xf>
    <xf numFmtId="44" fontId="56" fillId="0" borderId="0" xfId="0" applyNumberFormat="1" applyFont="1" applyBorder="1" applyAlignment="1">
      <alignment/>
    </xf>
    <xf numFmtId="44" fontId="56" fillId="0" borderId="0" xfId="0" applyNumberFormat="1" applyFont="1" applyFill="1" applyBorder="1" applyAlignment="1">
      <alignment horizontal="left"/>
    </xf>
    <xf numFmtId="44" fontId="66" fillId="35" borderId="0" xfId="0" applyNumberFormat="1" applyFont="1" applyFill="1" applyAlignment="1">
      <alignment/>
    </xf>
    <xf numFmtId="9" fontId="4" fillId="0" borderId="10" xfId="0" applyNumberFormat="1" applyFont="1" applyBorder="1" applyAlignment="1">
      <alignment horizontal="center"/>
    </xf>
    <xf numFmtId="186" fontId="79" fillId="0" borderId="0" xfId="0" applyNumberFormat="1" applyFont="1" applyFill="1" applyBorder="1" applyAlignment="1">
      <alignment horizontal="center"/>
    </xf>
    <xf numFmtId="3" fontId="79" fillId="0" borderId="0" xfId="0" applyNumberFormat="1" applyFont="1" applyFill="1" applyBorder="1" applyAlignment="1">
      <alignment horizontal="center"/>
    </xf>
    <xf numFmtId="0" fontId="79" fillId="0" borderId="0" xfId="0" applyFont="1" applyFill="1" applyBorder="1" applyAlignment="1">
      <alignment horizontal="center"/>
    </xf>
    <xf numFmtId="0" fontId="79" fillId="0" borderId="0" xfId="0" applyFont="1" applyFill="1" applyAlignment="1">
      <alignment/>
    </xf>
    <xf numFmtId="178" fontId="4" fillId="0" borderId="10" xfId="0" applyNumberFormat="1" applyFont="1" applyFill="1" applyBorder="1" applyAlignment="1">
      <alignment/>
    </xf>
    <xf numFmtId="186" fontId="0" fillId="0" borderId="10" xfId="0" applyNumberForma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24" fillId="0" borderId="0" xfId="0" applyFont="1" applyFill="1" applyBorder="1" applyAlignment="1" applyProtection="1">
      <alignment/>
      <protection/>
    </xf>
    <xf numFmtId="0" fontId="17" fillId="0" borderId="10" xfId="0" applyFont="1" applyFill="1" applyBorder="1" applyAlignment="1" applyProtection="1">
      <alignment/>
      <protection/>
    </xf>
    <xf numFmtId="3" fontId="0" fillId="0" borderId="10" xfId="60" applyNumberFormat="1" applyFont="1" applyFill="1" applyBorder="1" applyAlignment="1">
      <alignment horizontal="center"/>
    </xf>
    <xf numFmtId="0" fontId="82" fillId="35" borderId="0" xfId="0" applyFont="1" applyFill="1" applyBorder="1" applyAlignment="1">
      <alignment horizontal="center"/>
    </xf>
    <xf numFmtId="0" fontId="82" fillId="35" borderId="0" xfId="0" applyFont="1" applyFill="1" applyAlignment="1">
      <alignment horizontal="center"/>
    </xf>
    <xf numFmtId="0" fontId="0" fillId="35" borderId="0" xfId="0" applyFont="1" applyFill="1" applyBorder="1" applyAlignment="1">
      <alignment/>
    </xf>
    <xf numFmtId="191" fontId="0" fillId="35" borderId="0" xfId="0" applyNumberFormat="1" applyFont="1" applyFill="1" applyBorder="1" applyAlignment="1">
      <alignment/>
    </xf>
    <xf numFmtId="1" fontId="4" fillId="0" borderId="10" xfId="0" applyNumberFormat="1" applyFont="1" applyBorder="1" applyAlignment="1">
      <alignment wrapText="1"/>
    </xf>
    <xf numFmtId="182" fontId="4" fillId="0" borderId="10" xfId="0" applyNumberFormat="1" applyFont="1" applyBorder="1" applyAlignment="1">
      <alignment horizontal="center"/>
    </xf>
    <xf numFmtId="9" fontId="0" fillId="35" borderId="0" xfId="0" applyNumberFormat="1" applyFont="1" applyFill="1" applyAlignment="1">
      <alignment/>
    </xf>
    <xf numFmtId="0" fontId="15" fillId="35" borderId="13" xfId="0" applyFont="1" applyFill="1" applyBorder="1" applyAlignment="1">
      <alignment horizontal="left"/>
    </xf>
    <xf numFmtId="0" fontId="23" fillId="35" borderId="18" xfId="0" applyFont="1" applyFill="1" applyBorder="1" applyAlignment="1">
      <alignment horizontal="left"/>
    </xf>
    <xf numFmtId="0" fontId="0" fillId="34" borderId="23" xfId="0" applyFill="1" applyBorder="1" applyAlignment="1">
      <alignment wrapText="1"/>
    </xf>
    <xf numFmtId="0" fontId="0" fillId="34" borderId="24" xfId="0" applyFont="1" applyFill="1" applyBorder="1" applyAlignment="1">
      <alignment wrapText="1"/>
    </xf>
    <xf numFmtId="0" fontId="21" fillId="0" borderId="23" xfId="0" applyFont="1" applyBorder="1" applyAlignment="1">
      <alignment wrapText="1"/>
    </xf>
    <xf numFmtId="0" fontId="20" fillId="0" borderId="24" xfId="0" applyFont="1" applyBorder="1" applyAlignment="1">
      <alignment horizontal="center" wrapText="1"/>
    </xf>
    <xf numFmtId="9" fontId="20" fillId="0" borderId="24" xfId="0" applyNumberFormat="1" applyFont="1" applyBorder="1" applyAlignment="1">
      <alignment horizontal="center" wrapText="1"/>
    </xf>
    <xf numFmtId="38" fontId="20" fillId="0" borderId="24" xfId="0" applyNumberFormat="1" applyFont="1" applyBorder="1" applyAlignment="1">
      <alignment horizontal="center" wrapText="1"/>
    </xf>
    <xf numFmtId="178" fontId="4" fillId="0" borderId="14" xfId="0" applyNumberFormat="1" applyFont="1" applyBorder="1" applyAlignment="1">
      <alignment/>
    </xf>
    <xf numFmtId="0" fontId="20" fillId="34" borderId="23" xfId="0" applyFont="1" applyFill="1" applyBorder="1" applyAlignment="1">
      <alignment wrapText="1"/>
    </xf>
    <xf numFmtId="0" fontId="20" fillId="34" borderId="24" xfId="0" applyFont="1" applyFill="1" applyBorder="1" applyAlignment="1">
      <alignment horizontal="center" wrapText="1"/>
    </xf>
    <xf numFmtId="0" fontId="21" fillId="0" borderId="25" xfId="0" applyFont="1" applyBorder="1" applyAlignment="1">
      <alignment wrapText="1"/>
    </xf>
    <xf numFmtId="0" fontId="0" fillId="0" borderId="11" xfId="0" applyFill="1" applyBorder="1" applyAlignment="1">
      <alignment/>
    </xf>
    <xf numFmtId="0" fontId="0" fillId="0" borderId="0" xfId="0" applyFill="1" applyBorder="1" applyAlignment="1">
      <alignment/>
    </xf>
    <xf numFmtId="0" fontId="4" fillId="0" borderId="26" xfId="0" applyFont="1" applyBorder="1" applyAlignment="1">
      <alignment/>
    </xf>
    <xf numFmtId="9" fontId="0" fillId="2" borderId="12" xfId="60" applyFont="1" applyFill="1" applyBorder="1" applyAlignment="1">
      <alignment horizontal="center"/>
    </xf>
    <xf numFmtId="0" fontId="79" fillId="2" borderId="0" xfId="0" applyFont="1" applyFill="1" applyBorder="1" applyAlignment="1">
      <alignment horizontal="center"/>
    </xf>
    <xf numFmtId="0" fontId="25" fillId="0" borderId="0" xfId="0" applyFont="1" applyFill="1" applyBorder="1" applyAlignment="1">
      <alignment horizontal="left"/>
    </xf>
    <xf numFmtId="0" fontId="0" fillId="0" borderId="26" xfId="0" applyFill="1" applyBorder="1" applyAlignment="1">
      <alignment/>
    </xf>
    <xf numFmtId="0" fontId="4" fillId="0" borderId="11" xfId="0" applyFont="1" applyFill="1" applyBorder="1" applyAlignment="1">
      <alignment/>
    </xf>
    <xf numFmtId="3" fontId="4" fillId="0" borderId="10" xfId="0" applyNumberFormat="1" applyFont="1" applyFill="1" applyBorder="1" applyAlignment="1">
      <alignment horizontal="center"/>
    </xf>
    <xf numFmtId="185" fontId="0" fillId="0" borderId="0" xfId="0" applyNumberFormat="1" applyBorder="1" applyAlignment="1">
      <alignment horizontal="center"/>
    </xf>
    <xf numFmtId="44" fontId="82" fillId="35" borderId="0" xfId="0" applyNumberFormat="1" applyFont="1" applyFill="1" applyAlignment="1">
      <alignment/>
    </xf>
    <xf numFmtId="9" fontId="0" fillId="0" borderId="0" xfId="0" applyNumberFormat="1" applyFont="1" applyFill="1" applyAlignment="1">
      <alignment/>
    </xf>
    <xf numFmtId="196" fontId="0" fillId="0" borderId="0" xfId="0" applyNumberFormat="1" applyAlignment="1">
      <alignment/>
    </xf>
    <xf numFmtId="1" fontId="5" fillId="2" borderId="10" xfId="44" applyNumberFormat="1" applyFont="1" applyFill="1" applyBorder="1" applyAlignment="1" applyProtection="1">
      <alignment/>
      <protection locked="0"/>
    </xf>
    <xf numFmtId="178" fontId="0" fillId="0" borderId="26" xfId="0" applyNumberFormat="1" applyFill="1" applyBorder="1" applyAlignment="1">
      <alignment wrapText="1"/>
    </xf>
    <xf numFmtId="178" fontId="0" fillId="33" borderId="10" xfId="0" applyNumberFormat="1" applyFill="1" applyBorder="1" applyAlignment="1">
      <alignment horizontal="center"/>
    </xf>
    <xf numFmtId="191" fontId="84" fillId="35" borderId="0" xfId="0" applyNumberFormat="1" applyFont="1" applyFill="1" applyBorder="1" applyAlignment="1">
      <alignment horizontal="left"/>
    </xf>
    <xf numFmtId="9" fontId="20" fillId="0" borderId="24" xfId="60" applyFont="1" applyBorder="1" applyAlignment="1">
      <alignment horizontal="center" wrapText="1"/>
    </xf>
    <xf numFmtId="0" fontId="17" fillId="0" borderId="10" xfId="0" applyFont="1" applyBorder="1" applyAlignment="1" applyProtection="1">
      <alignment/>
      <protection/>
    </xf>
    <xf numFmtId="1" fontId="5" fillId="0" borderId="10" xfId="44" applyNumberFormat="1" applyFont="1" applyFill="1" applyBorder="1" applyAlignment="1" applyProtection="1">
      <alignment/>
      <protection/>
    </xf>
    <xf numFmtId="9" fontId="5" fillId="2" borderId="10" xfId="0" applyNumberFormat="1" applyFont="1" applyFill="1" applyBorder="1" applyAlignment="1" applyProtection="1">
      <alignment/>
      <protection locked="0"/>
    </xf>
    <xf numFmtId="0" fontId="21" fillId="33" borderId="23" xfId="0" applyFont="1" applyFill="1" applyBorder="1" applyAlignment="1">
      <alignment wrapText="1"/>
    </xf>
    <xf numFmtId="197" fontId="20" fillId="33" borderId="24" xfId="0" applyNumberFormat="1" applyFont="1" applyFill="1" applyBorder="1" applyAlignment="1">
      <alignment horizontal="center" wrapText="1"/>
    </xf>
    <xf numFmtId="44" fontId="52" fillId="0" borderId="0" xfId="0" applyNumberFormat="1" applyFont="1" applyFill="1" applyAlignment="1">
      <alignment/>
    </xf>
    <xf numFmtId="0" fontId="47" fillId="0" borderId="0" xfId="0" applyFont="1" applyFill="1" applyAlignment="1">
      <alignment/>
    </xf>
    <xf numFmtId="0" fontId="20" fillId="0" borderId="0" xfId="57" applyFont="1" applyBorder="1" applyProtection="1">
      <alignment/>
      <protection/>
    </xf>
    <xf numFmtId="0" fontId="26" fillId="0" borderId="17" xfId="57" applyFont="1" applyFill="1" applyBorder="1" applyAlignment="1" applyProtection="1">
      <alignment/>
      <protection/>
    </xf>
    <xf numFmtId="0" fontId="20" fillId="0" borderId="18" xfId="57" applyFont="1" applyBorder="1" applyAlignment="1" applyProtection="1">
      <alignment horizontal="center"/>
      <protection/>
    </xf>
    <xf numFmtId="0" fontId="19" fillId="0" borderId="14" xfId="57" applyFont="1" applyFill="1" applyBorder="1" applyAlignment="1" applyProtection="1">
      <alignment/>
      <protection/>
    </xf>
    <xf numFmtId="0" fontId="26" fillId="0" borderId="0" xfId="57" applyFont="1" applyFill="1" applyBorder="1" applyAlignment="1" applyProtection="1">
      <alignment/>
      <protection/>
    </xf>
    <xf numFmtId="0" fontId="20" fillId="0" borderId="16" xfId="57" applyFont="1" applyBorder="1" applyAlignment="1" applyProtection="1">
      <alignment horizontal="center"/>
      <protection/>
    </xf>
    <xf numFmtId="3" fontId="27" fillId="0" borderId="0" xfId="44" applyNumberFormat="1" applyFont="1" applyBorder="1" applyAlignment="1" applyProtection="1">
      <alignment horizontal="center"/>
      <protection/>
    </xf>
    <xf numFmtId="0" fontId="20" fillId="0" borderId="0" xfId="57" applyFont="1" applyBorder="1" applyAlignment="1" applyProtection="1">
      <alignment horizontal="center"/>
      <protection/>
    </xf>
    <xf numFmtId="0" fontId="28" fillId="0" borderId="27" xfId="57" applyFont="1" applyBorder="1" applyAlignment="1" applyProtection="1">
      <alignment horizontal="center"/>
      <protection/>
    </xf>
    <xf numFmtId="0" fontId="28" fillId="0" borderId="16" xfId="57" applyFont="1" applyBorder="1" applyAlignment="1" applyProtection="1">
      <alignment horizontal="center"/>
      <protection/>
    </xf>
    <xf numFmtId="3" fontId="20" fillId="0" borderId="28" xfId="44" applyNumberFormat="1" applyFont="1" applyBorder="1" applyAlignment="1" applyProtection="1">
      <alignment horizontal="center"/>
      <protection/>
    </xf>
    <xf numFmtId="3" fontId="20" fillId="0" borderId="29" xfId="57" applyNumberFormat="1" applyFont="1" applyBorder="1" applyAlignment="1" applyProtection="1">
      <alignment horizontal="center"/>
      <protection/>
    </xf>
    <xf numFmtId="3" fontId="20" fillId="0" borderId="29" xfId="44" applyNumberFormat="1" applyFont="1" applyBorder="1" applyAlignment="1" applyProtection="1">
      <alignment horizontal="center"/>
      <protection/>
    </xf>
    <xf numFmtId="3" fontId="20" fillId="0" borderId="0" xfId="44" applyNumberFormat="1" applyFont="1" applyBorder="1" applyAlignment="1" applyProtection="1">
      <alignment horizontal="center"/>
      <protection/>
    </xf>
    <xf numFmtId="3" fontId="20" fillId="0" borderId="16" xfId="57" applyNumberFormat="1" applyFont="1" applyBorder="1" applyAlignment="1" applyProtection="1">
      <alignment horizontal="center"/>
      <protection/>
    </xf>
    <xf numFmtId="0" fontId="20" fillId="0" borderId="19" xfId="57" applyFont="1" applyBorder="1" applyProtection="1">
      <alignment/>
      <protection/>
    </xf>
    <xf numFmtId="0" fontId="20" fillId="0" borderId="20" xfId="57" applyFont="1" applyBorder="1" applyAlignment="1" applyProtection="1">
      <alignment horizontal="center"/>
      <protection/>
    </xf>
    <xf numFmtId="9" fontId="0" fillId="0" borderId="0" xfId="0" applyNumberFormat="1" applyFill="1" applyBorder="1" applyAlignment="1">
      <alignment/>
    </xf>
    <xf numFmtId="0" fontId="21" fillId="0" borderId="0" xfId="57" applyFont="1" applyBorder="1" applyAlignment="1" applyProtection="1">
      <alignment horizontal="center"/>
      <protection/>
    </xf>
    <xf numFmtId="0" fontId="0" fillId="0" borderId="10" xfId="0" applyFont="1" applyBorder="1" applyAlignment="1">
      <alignment/>
    </xf>
    <xf numFmtId="0" fontId="0" fillId="0" borderId="26" xfId="0" applyFont="1" applyBorder="1" applyAlignment="1">
      <alignment/>
    </xf>
    <xf numFmtId="10" fontId="20" fillId="36" borderId="28" xfId="44" applyNumberFormat="1" applyFont="1" applyFill="1" applyBorder="1" applyAlignment="1" applyProtection="1">
      <alignment horizontal="center"/>
      <protection/>
    </xf>
    <xf numFmtId="10" fontId="20" fillId="36" borderId="29" xfId="57" applyNumberFormat="1" applyFont="1" applyFill="1" applyBorder="1" applyAlignment="1" applyProtection="1">
      <alignment horizontal="center"/>
      <protection/>
    </xf>
    <xf numFmtId="0" fontId="0" fillId="36" borderId="10" xfId="0" applyFont="1" applyFill="1" applyBorder="1" applyAlignment="1">
      <alignment/>
    </xf>
    <xf numFmtId="9" fontId="5" fillId="0" borderId="10" xfId="0" applyNumberFormat="1" applyFont="1" applyFill="1" applyBorder="1" applyAlignment="1" applyProtection="1">
      <alignment/>
      <protection locked="0"/>
    </xf>
    <xf numFmtId="178" fontId="9" fillId="0" borderId="30" xfId="0" applyNumberFormat="1" applyFont="1" applyBorder="1" applyAlignment="1">
      <alignment/>
    </xf>
    <xf numFmtId="178" fontId="4" fillId="0" borderId="0" xfId="0" applyNumberFormat="1" applyFont="1" applyBorder="1" applyAlignment="1">
      <alignment/>
    </xf>
    <xf numFmtId="178" fontId="10" fillId="0" borderId="21" xfId="0" applyNumberFormat="1" applyFont="1" applyBorder="1" applyAlignment="1">
      <alignment/>
    </xf>
    <xf numFmtId="182" fontId="0" fillId="0" borderId="21" xfId="0" applyNumberFormat="1" applyFill="1" applyBorder="1" applyAlignment="1">
      <alignment horizontal="center"/>
    </xf>
    <xf numFmtId="191" fontId="52" fillId="0" borderId="22" xfId="0" applyNumberFormat="1" applyFont="1" applyFill="1" applyBorder="1" applyAlignment="1">
      <alignment horizontal="left"/>
    </xf>
    <xf numFmtId="0" fontId="5" fillId="2" borderId="10" xfId="0" applyFont="1" applyFill="1" applyBorder="1" applyAlignment="1" applyProtection="1">
      <alignment/>
      <protection/>
    </xf>
    <xf numFmtId="1" fontId="5" fillId="0" borderId="10" xfId="44" applyNumberFormat="1" applyFont="1" applyFill="1" applyBorder="1" applyAlignment="1" applyProtection="1">
      <alignment/>
      <protection locked="0"/>
    </xf>
    <xf numFmtId="44" fontId="0" fillId="0" borderId="0" xfId="0" applyNumberFormat="1" applyFont="1" applyFill="1" applyAlignment="1">
      <alignment/>
    </xf>
    <xf numFmtId="191" fontId="0" fillId="0" borderId="19" xfId="0" applyNumberFormat="1" applyBorder="1" applyAlignment="1">
      <alignment/>
    </xf>
    <xf numFmtId="0" fontId="20" fillId="0" borderId="17" xfId="57" applyFont="1" applyBorder="1" applyProtection="1">
      <alignment/>
      <protection/>
    </xf>
    <xf numFmtId="0" fontId="20" fillId="0" borderId="0" xfId="57" applyFont="1">
      <alignment/>
      <protection/>
    </xf>
    <xf numFmtId="0" fontId="20" fillId="0" borderId="0" xfId="57" applyFont="1" applyAlignment="1">
      <alignment horizontal="center"/>
      <protection/>
    </xf>
    <xf numFmtId="9" fontId="0" fillId="33" borderId="10" xfId="0" applyNumberFormat="1" applyFill="1" applyBorder="1" applyAlignment="1">
      <alignment horizontal="center"/>
    </xf>
    <xf numFmtId="9" fontId="0" fillId="2" borderId="10" xfId="60" applyFont="1" applyFill="1" applyBorder="1" applyAlignment="1">
      <alignment horizontal="center"/>
    </xf>
    <xf numFmtId="178" fontId="0" fillId="2" borderId="10" xfId="0" applyNumberFormat="1" applyFill="1" applyBorder="1" applyAlignment="1">
      <alignment horizontal="center"/>
    </xf>
    <xf numFmtId="186" fontId="5" fillId="2" borderId="10" xfId="0" applyNumberFormat="1" applyFont="1" applyFill="1" applyBorder="1" applyAlignment="1">
      <alignment horizontal="center"/>
    </xf>
    <xf numFmtId="202" fontId="20" fillId="0" borderId="0" xfId="57" applyNumberFormat="1" applyFont="1" applyBorder="1" applyAlignment="1" applyProtection="1">
      <alignment horizontal="center"/>
      <protection/>
    </xf>
    <xf numFmtId="42" fontId="0" fillId="0" borderId="0" xfId="0" applyNumberFormat="1" applyFont="1" applyFill="1" applyAlignment="1">
      <alignment/>
    </xf>
    <xf numFmtId="42" fontId="5" fillId="6" borderId="0" xfId="0" applyNumberFormat="1" applyFont="1" applyFill="1" applyAlignment="1">
      <alignment/>
    </xf>
    <xf numFmtId="42" fontId="0" fillId="6" borderId="0" xfId="0" applyNumberFormat="1" applyFont="1" applyFill="1" applyAlignment="1">
      <alignment/>
    </xf>
    <xf numFmtId="42" fontId="0" fillId="0" borderId="0" xfId="0" applyNumberFormat="1" applyFont="1" applyFill="1" applyBorder="1" applyAlignment="1">
      <alignment/>
    </xf>
    <xf numFmtId="42" fontId="0" fillId="35" borderId="0" xfId="0" applyNumberFormat="1" applyFont="1" applyFill="1" applyAlignment="1">
      <alignment/>
    </xf>
    <xf numFmtId="42" fontId="5" fillId="35" borderId="0" xfId="0" applyNumberFormat="1" applyFont="1" applyFill="1" applyAlignment="1">
      <alignment/>
    </xf>
    <xf numFmtId="42" fontId="0" fillId="0" borderId="22" xfId="0" applyNumberFormat="1" applyFont="1" applyFill="1" applyBorder="1" applyAlignment="1">
      <alignment/>
    </xf>
    <xf numFmtId="42" fontId="0" fillId="6" borderId="22" xfId="0" applyNumberFormat="1" applyFont="1" applyFill="1" applyBorder="1" applyAlignment="1">
      <alignment/>
    </xf>
    <xf numFmtId="42" fontId="5" fillId="6" borderId="22" xfId="0" applyNumberFormat="1" applyFont="1" applyFill="1" applyBorder="1" applyAlignment="1">
      <alignment/>
    </xf>
    <xf numFmtId="42" fontId="5" fillId="0" borderId="0" xfId="0" applyNumberFormat="1" applyFont="1" applyFill="1" applyAlignment="1">
      <alignment/>
    </xf>
    <xf numFmtId="42" fontId="4" fillId="0" borderId="22" xfId="0" applyNumberFormat="1" applyFont="1" applyFill="1" applyBorder="1" applyAlignment="1">
      <alignment/>
    </xf>
    <xf numFmtId="42" fontId="4" fillId="6" borderId="22" xfId="0" applyNumberFormat="1" applyFont="1" applyFill="1" applyBorder="1" applyAlignment="1">
      <alignment/>
    </xf>
    <xf numFmtId="42" fontId="4" fillId="0" borderId="0" xfId="0" applyNumberFormat="1" applyFont="1" applyFill="1" applyAlignment="1">
      <alignment/>
    </xf>
    <xf numFmtId="42" fontId="5" fillId="0" borderId="22" xfId="0" applyNumberFormat="1" applyFont="1" applyFill="1" applyBorder="1" applyAlignment="1">
      <alignment/>
    </xf>
    <xf numFmtId="191" fontId="0" fillId="0" borderId="17" xfId="0" applyNumberFormat="1" applyBorder="1" applyAlignment="1">
      <alignment/>
    </xf>
    <xf numFmtId="44" fontId="52" fillId="0" borderId="0" xfId="0" applyNumberFormat="1" applyFont="1" applyFill="1" applyBorder="1" applyAlignment="1">
      <alignment horizontal="right"/>
    </xf>
    <xf numFmtId="0" fontId="4" fillId="0" borderId="0" xfId="0" applyFont="1" applyFill="1" applyAlignment="1">
      <alignment/>
    </xf>
    <xf numFmtId="44" fontId="57" fillId="0" borderId="0" xfId="0" applyNumberFormat="1" applyFont="1" applyFill="1" applyBorder="1" applyAlignment="1">
      <alignment horizontal="left"/>
    </xf>
    <xf numFmtId="44" fontId="52" fillId="0" borderId="22" xfId="0" applyNumberFormat="1" applyFont="1" applyFill="1" applyBorder="1" applyAlignment="1">
      <alignment horizontal="right"/>
    </xf>
    <xf numFmtId="44" fontId="4" fillId="0" borderId="0" xfId="0" applyNumberFormat="1" applyFont="1" applyFill="1" applyAlignment="1">
      <alignment/>
    </xf>
    <xf numFmtId="44" fontId="4" fillId="0" borderId="22" xfId="0" applyNumberFormat="1" applyFont="1" applyFill="1" applyBorder="1" applyAlignment="1">
      <alignment/>
    </xf>
    <xf numFmtId="42" fontId="0" fillId="6" borderId="0" xfId="0" applyNumberFormat="1" applyFont="1" applyFill="1" applyBorder="1" applyAlignment="1">
      <alignment/>
    </xf>
    <xf numFmtId="44" fontId="4" fillId="0" borderId="28" xfId="0" applyNumberFormat="1" applyFont="1" applyFill="1" applyBorder="1" applyAlignment="1">
      <alignment/>
    </xf>
    <xf numFmtId="42" fontId="0" fillId="0" borderId="28" xfId="0" applyNumberFormat="1" applyFont="1" applyFill="1" applyBorder="1" applyAlignment="1">
      <alignment/>
    </xf>
    <xf numFmtId="42" fontId="5" fillId="6" borderId="28" xfId="0" applyNumberFormat="1" applyFont="1" applyFill="1" applyBorder="1" applyAlignment="1">
      <alignment/>
    </xf>
    <xf numFmtId="42" fontId="5" fillId="0" borderId="28" xfId="0" applyNumberFormat="1" applyFont="1" applyFill="1" applyBorder="1" applyAlignment="1">
      <alignment/>
    </xf>
    <xf numFmtId="0" fontId="20" fillId="33" borderId="23" xfId="0" applyFont="1" applyFill="1" applyBorder="1" applyAlignment="1">
      <alignment wrapText="1"/>
    </xf>
    <xf numFmtId="0" fontId="20" fillId="33" borderId="24" xfId="0" applyFont="1" applyFill="1" applyBorder="1" applyAlignment="1">
      <alignment horizontal="center" wrapText="1"/>
    </xf>
    <xf numFmtId="172" fontId="20" fillId="0" borderId="31" xfId="0" applyNumberFormat="1" applyFont="1" applyBorder="1" applyAlignment="1">
      <alignment horizontal="center" wrapText="1"/>
    </xf>
    <xf numFmtId="44" fontId="4" fillId="0" borderId="0" xfId="0" applyNumberFormat="1" applyFont="1" applyFill="1" applyBorder="1" applyAlignment="1">
      <alignment/>
    </xf>
    <xf numFmtId="42" fontId="5" fillId="6" borderId="0" xfId="0" applyNumberFormat="1" applyFont="1" applyFill="1" applyBorder="1" applyAlignment="1">
      <alignment/>
    </xf>
    <xf numFmtId="42" fontId="5" fillId="0" borderId="0" xfId="0" applyNumberFormat="1" applyFont="1" applyFill="1" applyBorder="1" applyAlignment="1">
      <alignment/>
    </xf>
    <xf numFmtId="173" fontId="81" fillId="35" borderId="0" xfId="0" applyNumberFormat="1" applyFont="1" applyFill="1" applyBorder="1" applyAlignment="1">
      <alignment horizontal="center"/>
    </xf>
    <xf numFmtId="178" fontId="79" fillId="0" borderId="10" xfId="0" applyNumberFormat="1" applyFont="1" applyFill="1" applyBorder="1" applyAlignment="1">
      <alignment/>
    </xf>
    <xf numFmtId="173" fontId="81" fillId="0" borderId="10" xfId="0" applyNumberFormat="1" applyFont="1" applyFill="1" applyBorder="1" applyAlignment="1">
      <alignment horizontal="center"/>
    </xf>
    <xf numFmtId="178" fontId="17" fillId="0" borderId="10" xfId="0" applyNumberFormat="1" applyFont="1" applyFill="1" applyBorder="1" applyAlignment="1">
      <alignment horizontal="center" wrapText="1"/>
    </xf>
    <xf numFmtId="178" fontId="17" fillId="0" borderId="10" xfId="0" applyNumberFormat="1" applyFont="1" applyFill="1" applyBorder="1" applyAlignment="1">
      <alignment horizontal="center"/>
    </xf>
    <xf numFmtId="178" fontId="9" fillId="0" borderId="12" xfId="0" applyNumberFormat="1" applyFont="1" applyBorder="1" applyAlignment="1">
      <alignment/>
    </xf>
    <xf numFmtId="178" fontId="0" fillId="33" borderId="12" xfId="0" applyNumberFormat="1" applyFill="1" applyBorder="1" applyAlignment="1">
      <alignment horizontal="center"/>
    </xf>
    <xf numFmtId="9" fontId="0" fillId="0" borderId="24" xfId="0" applyNumberFormat="1" applyFont="1" applyBorder="1" applyAlignment="1">
      <alignment horizontal="center"/>
    </xf>
    <xf numFmtId="0" fontId="21" fillId="0" borderId="13" xfId="57" applyFont="1" applyFill="1" applyBorder="1" applyAlignment="1" applyProtection="1">
      <alignment horizontal="right" wrapText="1"/>
      <protection/>
    </xf>
    <xf numFmtId="44" fontId="0" fillId="0" borderId="15" xfId="0" applyNumberFormat="1" applyBorder="1" applyAlignment="1">
      <alignment/>
    </xf>
    <xf numFmtId="1" fontId="0" fillId="0" borderId="10" xfId="0" applyNumberFormat="1" applyFont="1" applyBorder="1" applyAlignment="1">
      <alignment/>
    </xf>
    <xf numFmtId="0" fontId="4" fillId="0" borderId="10" xfId="0" applyFont="1" applyBorder="1" applyAlignment="1">
      <alignment horizontal="center" vertical="center"/>
    </xf>
    <xf numFmtId="182" fontId="0" fillId="0" borderId="0" xfId="0" applyNumberFormat="1" applyAlignment="1">
      <alignment/>
    </xf>
    <xf numFmtId="9" fontId="5" fillId="0" borderId="0" xfId="0" applyNumberFormat="1" applyFont="1" applyFill="1" applyAlignment="1">
      <alignment/>
    </xf>
    <xf numFmtId="44" fontId="56" fillId="0" borderId="0" xfId="0" applyNumberFormat="1" applyFont="1" applyFill="1" applyAlignment="1">
      <alignment/>
    </xf>
    <xf numFmtId="0" fontId="17" fillId="0" borderId="10" xfId="0" applyFont="1" applyFill="1" applyBorder="1" applyAlignment="1" applyProtection="1">
      <alignment/>
      <protection/>
    </xf>
    <xf numFmtId="9" fontId="0" fillId="0" borderId="10" xfId="60" applyFont="1" applyBorder="1" applyAlignment="1">
      <alignment/>
    </xf>
    <xf numFmtId="0" fontId="21" fillId="0" borderId="23" xfId="0" applyFont="1" applyFill="1" applyBorder="1" applyAlignment="1">
      <alignment wrapText="1"/>
    </xf>
    <xf numFmtId="9" fontId="20" fillId="0" borderId="24" xfId="0" applyNumberFormat="1" applyFont="1" applyFill="1" applyBorder="1" applyAlignment="1">
      <alignment horizontal="center" wrapText="1"/>
    </xf>
    <xf numFmtId="0" fontId="4" fillId="0" borderId="0" xfId="0" applyFont="1" applyAlignment="1">
      <alignment horizontal="center"/>
    </xf>
    <xf numFmtId="9" fontId="0" fillId="0" borderId="0" xfId="0" applyNumberFormat="1" applyAlignment="1">
      <alignment/>
    </xf>
    <xf numFmtId="185" fontId="0" fillId="0" borderId="0" xfId="0" applyNumberFormat="1" applyAlignment="1">
      <alignment/>
    </xf>
    <xf numFmtId="173" fontId="0" fillId="2" borderId="10" xfId="0" applyNumberFormat="1" applyFill="1" applyBorder="1" applyAlignment="1">
      <alignment horizontal="center"/>
    </xf>
    <xf numFmtId="9" fontId="5" fillId="36" borderId="10" xfId="0" applyNumberFormat="1" applyFont="1" applyFill="1" applyBorder="1" applyAlignment="1" applyProtection="1">
      <alignment/>
      <protection/>
    </xf>
    <xf numFmtId="9" fontId="5" fillId="0" borderId="0" xfId="60" applyFont="1" applyFill="1" applyAlignment="1">
      <alignment/>
    </xf>
    <xf numFmtId="42" fontId="0" fillId="0" borderId="0" xfId="0" applyNumberFormat="1" applyAlignment="1">
      <alignment/>
    </xf>
    <xf numFmtId="0" fontId="4" fillId="0" borderId="0" xfId="0" applyFont="1" applyAlignment="1">
      <alignment horizontal="left"/>
    </xf>
    <xf numFmtId="42" fontId="4" fillId="0" borderId="0" xfId="0" applyNumberFormat="1" applyFont="1" applyFill="1" applyBorder="1" applyAlignment="1">
      <alignment/>
    </xf>
    <xf numFmtId="42" fontId="4" fillId="6" borderId="0" xfId="0" applyNumberFormat="1" applyFont="1" applyFill="1" applyBorder="1" applyAlignment="1">
      <alignment/>
    </xf>
    <xf numFmtId="44" fontId="85" fillId="0" borderId="0" xfId="0" applyNumberFormat="1" applyFont="1" applyFill="1" applyBorder="1" applyAlignment="1">
      <alignment horizontal="left"/>
    </xf>
    <xf numFmtId="42" fontId="86" fillId="0" borderId="0" xfId="0" applyNumberFormat="1" applyFont="1" applyFill="1" applyBorder="1" applyAlignment="1">
      <alignment/>
    </xf>
    <xf numFmtId="42" fontId="86" fillId="6" borderId="0" xfId="0" applyNumberFormat="1" applyFont="1" applyFill="1" applyBorder="1" applyAlignment="1">
      <alignment/>
    </xf>
    <xf numFmtId="0" fontId="86" fillId="0" borderId="0" xfId="0" applyFont="1" applyFill="1" applyAlignment="1">
      <alignment/>
    </xf>
    <xf numFmtId="9" fontId="0" fillId="6" borderId="0" xfId="0" applyNumberFormat="1" applyFont="1" applyFill="1" applyBorder="1" applyAlignment="1">
      <alignment/>
    </xf>
    <xf numFmtId="0" fontId="4" fillId="0" borderId="32" xfId="0" applyFont="1" applyFill="1" applyBorder="1" applyAlignment="1">
      <alignment/>
    </xf>
    <xf numFmtId="175" fontId="4" fillId="0" borderId="10" xfId="0" applyNumberFormat="1" applyFont="1" applyBorder="1" applyAlignment="1">
      <alignment horizontal="center"/>
    </xf>
    <xf numFmtId="175" fontId="4" fillId="0" borderId="26" xfId="0" applyNumberFormat="1" applyFont="1" applyBorder="1" applyAlignment="1">
      <alignment horizontal="center"/>
    </xf>
    <xf numFmtId="44" fontId="0" fillId="0" borderId="10" xfId="0" applyNumberFormat="1" applyBorder="1" applyAlignment="1">
      <alignment horizontal="center"/>
    </xf>
    <xf numFmtId="44" fontId="0" fillId="0" borderId="10" xfId="0" applyNumberFormat="1" applyFill="1" applyBorder="1" applyAlignment="1">
      <alignment horizontal="center"/>
    </xf>
    <xf numFmtId="44" fontId="0" fillId="2" borderId="10" xfId="0" applyNumberFormat="1" applyFill="1" applyBorder="1" applyAlignment="1">
      <alignment horizontal="center"/>
    </xf>
    <xf numFmtId="44" fontId="0" fillId="0" borderId="12" xfId="0" applyNumberFormat="1" applyBorder="1" applyAlignment="1">
      <alignment horizontal="center"/>
    </xf>
    <xf numFmtId="44" fontId="4" fillId="37" borderId="30" xfId="0" applyNumberFormat="1" applyFont="1" applyFill="1" applyBorder="1" applyAlignment="1">
      <alignment horizontal="center"/>
    </xf>
    <xf numFmtId="44" fontId="0" fillId="0" borderId="10" xfId="60" applyNumberFormat="1" applyFont="1" applyFill="1" applyBorder="1" applyAlignment="1">
      <alignment horizontal="center"/>
    </xf>
    <xf numFmtId="44" fontId="4" fillId="0" borderId="12" xfId="0" applyNumberFormat="1" applyFont="1" applyBorder="1" applyAlignment="1">
      <alignment horizontal="center"/>
    </xf>
    <xf numFmtId="195" fontId="0" fillId="0" borderId="10" xfId="0" applyNumberFormat="1" applyBorder="1" applyAlignment="1">
      <alignment horizontal="center"/>
    </xf>
    <xf numFmtId="195" fontId="0" fillId="2" borderId="10" xfId="0" applyNumberFormat="1" applyFill="1" applyBorder="1" applyAlignment="1">
      <alignment horizontal="center"/>
    </xf>
    <xf numFmtId="1" fontId="0" fillId="0" borderId="10" xfId="0" applyNumberFormat="1" applyFont="1" applyFill="1" applyBorder="1" applyAlignment="1">
      <alignment/>
    </xf>
    <xf numFmtId="9" fontId="0" fillId="0" borderId="10" xfId="60" applyFont="1" applyFill="1" applyBorder="1" applyAlignment="1">
      <alignment/>
    </xf>
    <xf numFmtId="44" fontId="5" fillId="0" borderId="10" xfId="44" applyNumberFormat="1" applyFont="1" applyFill="1" applyBorder="1" applyAlignment="1" applyProtection="1">
      <alignment/>
      <protection/>
    </xf>
    <xf numFmtId="195" fontId="5" fillId="0" borderId="10" xfId="44" applyNumberFormat="1" applyFont="1" applyFill="1" applyBorder="1" applyAlignment="1" applyProtection="1">
      <alignment/>
      <protection/>
    </xf>
    <xf numFmtId="195" fontId="0" fillId="0" borderId="26" xfId="0" applyNumberFormat="1" applyFill="1" applyBorder="1" applyAlignment="1">
      <alignment horizontal="center"/>
    </xf>
    <xf numFmtId="172" fontId="20" fillId="0" borderId="24" xfId="0" applyNumberFormat="1" applyFont="1" applyBorder="1" applyAlignment="1">
      <alignment horizontal="center" wrapText="1"/>
    </xf>
    <xf numFmtId="172" fontId="20" fillId="0" borderId="24" xfId="0" applyNumberFormat="1" applyFont="1" applyFill="1" applyBorder="1" applyAlignment="1">
      <alignment horizontal="center" wrapText="1"/>
    </xf>
    <xf numFmtId="207" fontId="21" fillId="0" borderId="14" xfId="57" applyNumberFormat="1" applyFont="1" applyBorder="1" applyAlignment="1" applyProtection="1">
      <alignment horizontal="right"/>
      <protection/>
    </xf>
    <xf numFmtId="207" fontId="0" fillId="0" borderId="0" xfId="0" applyNumberFormat="1" applyBorder="1" applyAlignment="1">
      <alignment/>
    </xf>
    <xf numFmtId="207" fontId="0" fillId="0" borderId="16" xfId="0" applyNumberFormat="1" applyBorder="1" applyAlignment="1">
      <alignment/>
    </xf>
    <xf numFmtId="207" fontId="0" fillId="0" borderId="0" xfId="0" applyNumberFormat="1" applyAlignment="1">
      <alignment/>
    </xf>
    <xf numFmtId="207" fontId="21" fillId="0" borderId="15" xfId="57" applyNumberFormat="1" applyFont="1" applyBorder="1" applyAlignment="1" applyProtection="1">
      <alignment horizontal="right"/>
      <protection/>
    </xf>
    <xf numFmtId="208" fontId="0" fillId="0" borderId="0" xfId="0" applyNumberFormat="1" applyBorder="1" applyAlignment="1">
      <alignment/>
    </xf>
    <xf numFmtId="208" fontId="0" fillId="0" borderId="16" xfId="0" applyNumberFormat="1" applyBorder="1" applyAlignment="1">
      <alignment/>
    </xf>
    <xf numFmtId="208" fontId="0" fillId="0" borderId="19" xfId="0" applyNumberFormat="1" applyBorder="1" applyAlignment="1">
      <alignment/>
    </xf>
    <xf numFmtId="208" fontId="0" fillId="0" borderId="20" xfId="0" applyNumberFormat="1" applyBorder="1" applyAlignment="1">
      <alignment/>
    </xf>
    <xf numFmtId="208" fontId="0" fillId="0" borderId="0" xfId="0" applyNumberFormat="1" applyAlignment="1">
      <alignment/>
    </xf>
    <xf numFmtId="41" fontId="21" fillId="0" borderId="14" xfId="57" applyNumberFormat="1" applyFont="1" applyBorder="1" applyAlignment="1" applyProtection="1">
      <alignment horizontal="right"/>
      <protection/>
    </xf>
    <xf numFmtId="41" fontId="20" fillId="0" borderId="0" xfId="57" applyNumberFormat="1" applyFont="1" applyBorder="1" applyAlignment="1" applyProtection="1">
      <alignment horizontal="center"/>
      <protection/>
    </xf>
    <xf numFmtId="41" fontId="20" fillId="0" borderId="0" xfId="57" applyNumberFormat="1" applyFont="1">
      <alignment/>
      <protection/>
    </xf>
    <xf numFmtId="175" fontId="0" fillId="2" borderId="10" xfId="0" applyNumberFormat="1" applyFill="1" applyBorder="1" applyAlignment="1">
      <alignment horizontal="center"/>
    </xf>
    <xf numFmtId="172" fontId="0" fillId="0" borderId="10" xfId="0" applyNumberFormat="1" applyFill="1" applyBorder="1" applyAlignment="1">
      <alignment/>
    </xf>
    <xf numFmtId="195" fontId="0" fillId="0" borderId="0" xfId="0" applyNumberFormat="1" applyFont="1" applyFill="1" applyAlignment="1">
      <alignment/>
    </xf>
    <xf numFmtId="195" fontId="5" fillId="0" borderId="0" xfId="0" applyNumberFormat="1" applyFont="1" applyFill="1" applyAlignment="1">
      <alignment/>
    </xf>
    <xf numFmtId="195" fontId="4" fillId="37" borderId="30" xfId="0" applyNumberFormat="1" applyFont="1" applyFill="1" applyBorder="1" applyAlignment="1">
      <alignment horizontal="center"/>
    </xf>
    <xf numFmtId="195" fontId="0" fillId="0" borderId="12" xfId="0" applyNumberFormat="1" applyBorder="1" applyAlignment="1">
      <alignment horizontal="center"/>
    </xf>
    <xf numFmtId="208" fontId="21" fillId="0" borderId="14" xfId="57" applyNumberFormat="1" applyFont="1" applyBorder="1" applyAlignment="1" applyProtection="1">
      <alignment horizontal="right"/>
      <protection/>
    </xf>
    <xf numFmtId="0" fontId="20" fillId="0" borderId="0" xfId="57" applyFont="1" applyBorder="1">
      <alignment/>
      <protection/>
    </xf>
    <xf numFmtId="41" fontId="20" fillId="0" borderId="0" xfId="57" applyNumberFormat="1" applyFont="1" applyBorder="1" applyProtection="1">
      <alignment/>
      <protection/>
    </xf>
    <xf numFmtId="41" fontId="20" fillId="0" borderId="0" xfId="57" applyNumberFormat="1" applyFont="1" applyBorder="1">
      <alignment/>
      <protection/>
    </xf>
    <xf numFmtId="0" fontId="20" fillId="0" borderId="17" xfId="57" applyFont="1" applyBorder="1">
      <alignment/>
      <protection/>
    </xf>
    <xf numFmtId="0" fontId="20" fillId="0" borderId="18" xfId="57" applyFont="1" applyBorder="1">
      <alignment/>
      <protection/>
    </xf>
    <xf numFmtId="0" fontId="20" fillId="0" borderId="16" xfId="57" applyFont="1" applyBorder="1">
      <alignment/>
      <protection/>
    </xf>
    <xf numFmtId="41" fontId="20" fillId="0" borderId="16" xfId="57" applyNumberFormat="1" applyFont="1" applyBorder="1">
      <alignment/>
      <protection/>
    </xf>
    <xf numFmtId="0" fontId="21" fillId="0" borderId="15" xfId="57" applyFont="1" applyBorder="1" applyAlignment="1" applyProtection="1">
      <alignment horizontal="right"/>
      <protection/>
    </xf>
    <xf numFmtId="3" fontId="20" fillId="0" borderId="19" xfId="57" applyNumberFormat="1" applyFont="1" applyBorder="1" applyAlignment="1" applyProtection="1">
      <alignment horizontal="center"/>
      <protection/>
    </xf>
    <xf numFmtId="0" fontId="20" fillId="0" borderId="19" xfId="57" applyFont="1" applyBorder="1">
      <alignment/>
      <protection/>
    </xf>
    <xf numFmtId="0" fontId="20" fillId="0" borderId="20" xfId="57" applyFont="1" applyBorder="1">
      <alignment/>
      <protection/>
    </xf>
    <xf numFmtId="0" fontId="4" fillId="0" borderId="14" xfId="0" applyFont="1" applyBorder="1" applyAlignment="1">
      <alignment horizontal="right"/>
    </xf>
    <xf numFmtId="0" fontId="0" fillId="2" borderId="33" xfId="0" applyFill="1" applyBorder="1" applyAlignment="1">
      <alignment/>
    </xf>
    <xf numFmtId="0" fontId="0" fillId="0" borderId="34" xfId="0" applyFill="1" applyBorder="1" applyAlignment="1">
      <alignment/>
    </xf>
    <xf numFmtId="195" fontId="5" fillId="37" borderId="10" xfId="44" applyNumberFormat="1" applyFont="1" applyFill="1" applyBorder="1" applyAlignment="1" applyProtection="1">
      <alignment/>
      <protection/>
    </xf>
    <xf numFmtId="0" fontId="0" fillId="0" borderId="11" xfId="0" applyBorder="1" applyAlignment="1">
      <alignment/>
    </xf>
    <xf numFmtId="0" fontId="0" fillId="0" borderId="0" xfId="60" applyNumberFormat="1" applyFont="1" applyFill="1" applyAlignment="1">
      <alignment/>
    </xf>
    <xf numFmtId="0" fontId="31" fillId="0" borderId="35" xfId="0" applyFont="1" applyBorder="1" applyAlignment="1">
      <alignment vertical="center" wrapText="1"/>
    </xf>
    <xf numFmtId="0" fontId="87" fillId="0" borderId="0" xfId="0" applyFont="1" applyFill="1" applyBorder="1" applyAlignment="1">
      <alignment horizontal="center"/>
    </xf>
    <xf numFmtId="0" fontId="87" fillId="0" borderId="0" xfId="0" applyFont="1" applyFill="1" applyAlignment="1">
      <alignment/>
    </xf>
    <xf numFmtId="0" fontId="88" fillId="0" borderId="0" xfId="0" applyFont="1" applyFill="1" applyBorder="1" applyAlignment="1">
      <alignment horizontal="center"/>
    </xf>
    <xf numFmtId="0" fontId="88" fillId="0" borderId="10" xfId="0" applyFont="1" applyBorder="1" applyAlignment="1">
      <alignment horizontal="center"/>
    </xf>
    <xf numFmtId="0" fontId="89" fillId="0" borderId="0" xfId="0" applyFont="1" applyAlignment="1">
      <alignment/>
    </xf>
    <xf numFmtId="0" fontId="88" fillId="0" borderId="10" xfId="0" applyFont="1" applyBorder="1" applyAlignment="1">
      <alignment horizontal="center"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preciation 5yr MACRS GDS"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Project Cash Flow Break-Even</a:t>
            </a:r>
          </a:p>
        </c:rich>
      </c:tx>
      <c:layout>
        <c:manualLayout>
          <c:xMode val="factor"/>
          <c:yMode val="factor"/>
          <c:x val="-0.00475"/>
          <c:y val="-0.00375"/>
        </c:manualLayout>
      </c:layout>
      <c:spPr>
        <a:noFill/>
        <a:ln w="3175">
          <a:noFill/>
        </a:ln>
      </c:spPr>
    </c:title>
    <c:plotArea>
      <c:layout>
        <c:manualLayout>
          <c:xMode val="edge"/>
          <c:yMode val="edge"/>
          <c:x val="-0.0005"/>
          <c:y val="0.11625"/>
          <c:w val="0.6725"/>
          <c:h val="0.892"/>
        </c:manualLayout>
      </c:layout>
      <c:lineChart>
        <c:grouping val="standard"/>
        <c:varyColors val="0"/>
        <c:ser>
          <c:idx val="0"/>
          <c:order val="0"/>
          <c:tx>
            <c:strRef>
              <c:f>'Break-Even Charts'!$A$4</c:f>
              <c:strCache>
                <c:ptCount val="1"/>
                <c:pt idx="0">
                  <c:v>Original Investment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'Break-Even Charts'!$B$4:$U$4</c:f>
              <c:numCache/>
            </c:numRef>
          </c:val>
          <c:smooth val="0"/>
        </c:ser>
        <c:ser>
          <c:idx val="1"/>
          <c:order val="1"/>
          <c:tx>
            <c:strRef>
              <c:f>'Break-Even Charts'!$A$5</c:f>
              <c:strCache>
                <c:ptCount val="1"/>
                <c:pt idx="0">
                  <c:v>Aggregate Cash Flow</c:v>
                </c:pt>
              </c:strCache>
            </c:strRef>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'Break-Even Charts'!$B$5:$U$5</c:f>
              <c:numCache/>
            </c:numRef>
          </c:val>
          <c:smooth val="0"/>
        </c:ser>
        <c:marker val="1"/>
        <c:axId val="57220397"/>
        <c:axId val="45221526"/>
      </c:lineChart>
      <c:catAx>
        <c:axId val="57220397"/>
        <c:scaling>
          <c:orientation val="minMax"/>
        </c:scaling>
        <c:axPos val="b"/>
        <c:delete val="0"/>
        <c:numFmt formatCode="General" sourceLinked="1"/>
        <c:majorTickMark val="none"/>
        <c:minorTickMark val="none"/>
        <c:tickLblPos val="nextTo"/>
        <c:spPr>
          <a:ln w="3175">
            <a:solidFill>
              <a:srgbClr val="808080"/>
            </a:solidFill>
          </a:ln>
        </c:spPr>
        <c:crossAx val="45221526"/>
        <c:crosses val="autoZero"/>
        <c:auto val="1"/>
        <c:lblOffset val="100"/>
        <c:tickLblSkip val="1"/>
        <c:noMultiLvlLbl val="0"/>
      </c:catAx>
      <c:valAx>
        <c:axId val="452215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220397"/>
        <c:crossesAt val="1"/>
        <c:crossBetween val="between"/>
        <c:dispUnits/>
      </c:valAx>
      <c:spPr>
        <a:solidFill>
          <a:srgbClr val="FFFFFF"/>
        </a:solidFill>
        <a:ln w="3175">
          <a:noFill/>
        </a:ln>
      </c:spPr>
    </c:plotArea>
    <c:legend>
      <c:legendPos val="r"/>
      <c:layout>
        <c:manualLayout>
          <c:xMode val="edge"/>
          <c:yMode val="edge"/>
          <c:x val="0.70525"/>
          <c:y val="0.534"/>
          <c:w val="0.28025"/>
          <c:h val="0.14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Equity Investor #1 Cash Flow Break-Even</a:t>
            </a:r>
          </a:p>
        </c:rich>
      </c:tx>
      <c:layout>
        <c:manualLayout>
          <c:xMode val="factor"/>
          <c:yMode val="factor"/>
          <c:x val="-0.0025"/>
          <c:y val="-0.00375"/>
        </c:manualLayout>
      </c:layout>
      <c:spPr>
        <a:noFill/>
        <a:ln w="3175">
          <a:noFill/>
        </a:ln>
      </c:spPr>
    </c:title>
    <c:plotArea>
      <c:layout>
        <c:manualLayout>
          <c:xMode val="edge"/>
          <c:yMode val="edge"/>
          <c:x val="-0.00025"/>
          <c:y val="0.11625"/>
          <c:w val="0.6715"/>
          <c:h val="0.892"/>
        </c:manualLayout>
      </c:layout>
      <c:lineChart>
        <c:grouping val="standard"/>
        <c:varyColors val="0"/>
        <c:ser>
          <c:idx val="0"/>
          <c:order val="0"/>
          <c:tx>
            <c:strRef>
              <c:f>'Break-Even Charts'!$A$8</c:f>
              <c:strCache>
                <c:ptCount val="1"/>
                <c:pt idx="0">
                  <c:v>Original Investment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'Break-Even Charts'!$B$8:$U$8</c:f>
              <c:numCache/>
            </c:numRef>
          </c:val>
          <c:smooth val="0"/>
        </c:ser>
        <c:ser>
          <c:idx val="1"/>
          <c:order val="1"/>
          <c:tx>
            <c:strRef>
              <c:f>'Break-Even Charts'!$A$9</c:f>
              <c:strCache>
                <c:ptCount val="1"/>
                <c:pt idx="0">
                  <c:v>Aggregate Cash Flow</c:v>
                </c:pt>
              </c:strCache>
            </c:strRef>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'Break-Even Charts'!$B$9:$U$9</c:f>
              <c:numCache/>
            </c:numRef>
          </c:val>
          <c:smooth val="0"/>
        </c:ser>
        <c:marker val="1"/>
        <c:axId val="4340551"/>
        <c:axId val="39064960"/>
      </c:lineChart>
      <c:catAx>
        <c:axId val="4340551"/>
        <c:scaling>
          <c:orientation val="minMax"/>
        </c:scaling>
        <c:axPos val="b"/>
        <c:delete val="0"/>
        <c:numFmt formatCode="General" sourceLinked="1"/>
        <c:majorTickMark val="none"/>
        <c:minorTickMark val="none"/>
        <c:tickLblPos val="nextTo"/>
        <c:spPr>
          <a:ln w="3175">
            <a:solidFill>
              <a:srgbClr val="808080"/>
            </a:solidFill>
          </a:ln>
        </c:spPr>
        <c:crossAx val="39064960"/>
        <c:crosses val="autoZero"/>
        <c:auto val="1"/>
        <c:lblOffset val="100"/>
        <c:tickLblSkip val="1"/>
        <c:noMultiLvlLbl val="0"/>
      </c:catAx>
      <c:valAx>
        <c:axId val="390649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40551"/>
        <c:crossesAt val="1"/>
        <c:crossBetween val="between"/>
        <c:dispUnits/>
      </c:valAx>
      <c:spPr>
        <a:solidFill>
          <a:srgbClr val="FFFFFF"/>
        </a:solidFill>
        <a:ln w="3175">
          <a:noFill/>
        </a:ln>
      </c:spPr>
    </c:plotArea>
    <c:legend>
      <c:legendPos val="r"/>
      <c:layout>
        <c:manualLayout>
          <c:xMode val="edge"/>
          <c:yMode val="edge"/>
          <c:x val="0.70625"/>
          <c:y val="0.534"/>
          <c:w val="0.2815"/>
          <c:h val="0.14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Equity Investor #2 Cash Flow Break-Even </a:t>
            </a:r>
          </a:p>
        </c:rich>
      </c:tx>
      <c:layout>
        <c:manualLayout>
          <c:xMode val="factor"/>
          <c:yMode val="factor"/>
          <c:x val="-0.00225"/>
          <c:y val="-0.004"/>
        </c:manualLayout>
      </c:layout>
      <c:spPr>
        <a:noFill/>
        <a:ln w="3175">
          <a:noFill/>
        </a:ln>
      </c:spPr>
    </c:title>
    <c:plotArea>
      <c:layout>
        <c:manualLayout>
          <c:xMode val="edge"/>
          <c:yMode val="edge"/>
          <c:x val="0.0565"/>
          <c:y val="0.211"/>
          <c:w val="0.628"/>
          <c:h val="0.79825"/>
        </c:manualLayout>
      </c:layout>
      <c:lineChart>
        <c:grouping val="standard"/>
        <c:varyColors val="0"/>
        <c:ser>
          <c:idx val="0"/>
          <c:order val="0"/>
          <c:tx>
            <c:strRef>
              <c:f>'Break-Even Charts'!$A$12</c:f>
              <c:strCache>
                <c:ptCount val="1"/>
                <c:pt idx="0">
                  <c:v>Original Investment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'Break-Even Charts'!$B$12:$U$12</c:f>
              <c:numCache/>
            </c:numRef>
          </c:val>
          <c:smooth val="0"/>
        </c:ser>
        <c:ser>
          <c:idx val="1"/>
          <c:order val="1"/>
          <c:tx>
            <c:strRef>
              <c:f>'Break-Even Charts'!$A$13</c:f>
              <c:strCache>
                <c:ptCount val="1"/>
                <c:pt idx="0">
                  <c:v>Aggregate Cash Flow</c:v>
                </c:pt>
              </c:strCache>
            </c:strRef>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'Break-Even Charts'!$B$13:$U$13</c:f>
              <c:numCache/>
            </c:numRef>
          </c:val>
          <c:smooth val="0"/>
        </c:ser>
        <c:marker val="1"/>
        <c:axId val="16040321"/>
        <c:axId val="10145162"/>
      </c:lineChart>
      <c:catAx>
        <c:axId val="16040321"/>
        <c:scaling>
          <c:orientation val="minMax"/>
        </c:scaling>
        <c:axPos val="b"/>
        <c:delete val="0"/>
        <c:numFmt formatCode="General" sourceLinked="1"/>
        <c:majorTickMark val="none"/>
        <c:minorTickMark val="none"/>
        <c:tickLblPos val="nextTo"/>
        <c:spPr>
          <a:ln w="3175">
            <a:solidFill>
              <a:srgbClr val="808080"/>
            </a:solidFill>
          </a:ln>
        </c:spPr>
        <c:crossAx val="10145162"/>
        <c:crosses val="autoZero"/>
        <c:auto val="1"/>
        <c:lblOffset val="100"/>
        <c:tickLblSkip val="1"/>
        <c:noMultiLvlLbl val="0"/>
      </c:catAx>
      <c:valAx>
        <c:axId val="101451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040321"/>
        <c:crossesAt val="1"/>
        <c:crossBetween val="between"/>
        <c:dispUnits/>
      </c:valAx>
      <c:spPr>
        <a:solidFill>
          <a:srgbClr val="FFFFFF"/>
        </a:solidFill>
        <a:ln w="3175">
          <a:noFill/>
        </a:ln>
      </c:spPr>
    </c:plotArea>
    <c:legend>
      <c:legendPos val="r"/>
      <c:layout>
        <c:manualLayout>
          <c:xMode val="edge"/>
          <c:yMode val="edge"/>
          <c:x val="0.71425"/>
          <c:y val="0.56975"/>
          <c:w val="0.27175"/>
          <c:h val="0.15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628650</xdr:colOff>
      <xdr:row>5</xdr:row>
      <xdr:rowOff>114300</xdr:rowOff>
    </xdr:to>
    <xdr:pic>
      <xdr:nvPicPr>
        <xdr:cNvPr id="1" name="Picture 1"/>
        <xdr:cNvPicPr preferRelativeResize="1">
          <a:picLocks noChangeAspect="1"/>
        </xdr:cNvPicPr>
      </xdr:nvPicPr>
      <xdr:blipFill>
        <a:blip r:embed="rId1"/>
        <a:stretch>
          <a:fillRect/>
        </a:stretch>
      </xdr:blipFill>
      <xdr:spPr>
        <a:xfrm>
          <a:off x="0" y="381000"/>
          <a:ext cx="6286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17</xdr:row>
      <xdr:rowOff>9525</xdr:rowOff>
    </xdr:from>
    <xdr:to>
      <xdr:col>4</xdr:col>
      <xdr:colOff>523875</xdr:colOff>
      <xdr:row>35</xdr:row>
      <xdr:rowOff>28575</xdr:rowOff>
    </xdr:to>
    <xdr:graphicFrame>
      <xdr:nvGraphicFramePr>
        <xdr:cNvPr id="1" name="Chart 2"/>
        <xdr:cNvGraphicFramePr/>
      </xdr:nvGraphicFramePr>
      <xdr:xfrm>
        <a:off x="419100" y="3248025"/>
        <a:ext cx="4676775" cy="3448050"/>
      </xdr:xfrm>
      <a:graphic>
        <a:graphicData uri="http://schemas.openxmlformats.org/drawingml/2006/chart">
          <c:chart xmlns:c="http://schemas.openxmlformats.org/drawingml/2006/chart" r:id="rId1"/>
        </a:graphicData>
      </a:graphic>
    </xdr:graphicFrame>
    <xdr:clientData/>
  </xdr:twoCellAnchor>
  <xdr:twoCellAnchor>
    <xdr:from>
      <xdr:col>5</xdr:col>
      <xdr:colOff>295275</xdr:colOff>
      <xdr:row>17</xdr:row>
      <xdr:rowOff>66675</xdr:rowOff>
    </xdr:from>
    <xdr:to>
      <xdr:col>11</xdr:col>
      <xdr:colOff>85725</xdr:colOff>
      <xdr:row>35</xdr:row>
      <xdr:rowOff>76200</xdr:rowOff>
    </xdr:to>
    <xdr:graphicFrame>
      <xdr:nvGraphicFramePr>
        <xdr:cNvPr id="2" name="Chart 1"/>
        <xdr:cNvGraphicFramePr/>
      </xdr:nvGraphicFramePr>
      <xdr:xfrm>
        <a:off x="5676900" y="3305175"/>
        <a:ext cx="4648200" cy="3438525"/>
      </xdr:xfrm>
      <a:graphic>
        <a:graphicData uri="http://schemas.openxmlformats.org/drawingml/2006/chart">
          <c:chart xmlns:c="http://schemas.openxmlformats.org/drawingml/2006/chart" r:id="rId2"/>
        </a:graphicData>
      </a:graphic>
    </xdr:graphicFrame>
    <xdr:clientData/>
  </xdr:twoCellAnchor>
  <xdr:twoCellAnchor>
    <xdr:from>
      <xdr:col>11</xdr:col>
      <xdr:colOff>409575</xdr:colOff>
      <xdr:row>17</xdr:row>
      <xdr:rowOff>76200</xdr:rowOff>
    </xdr:from>
    <xdr:to>
      <xdr:col>17</xdr:col>
      <xdr:colOff>361950</xdr:colOff>
      <xdr:row>34</xdr:row>
      <xdr:rowOff>114300</xdr:rowOff>
    </xdr:to>
    <xdr:graphicFrame>
      <xdr:nvGraphicFramePr>
        <xdr:cNvPr id="3" name="Chart 2"/>
        <xdr:cNvGraphicFramePr/>
      </xdr:nvGraphicFramePr>
      <xdr:xfrm>
        <a:off x="10648950" y="3314700"/>
        <a:ext cx="4810125" cy="3276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19"/>
  <sheetViews>
    <sheetView zoomScalePageLayoutView="0" workbookViewId="0" topLeftCell="A1">
      <selection activeCell="A20" sqref="A20"/>
    </sheetView>
  </sheetViews>
  <sheetFormatPr defaultColWidth="11.421875" defaultRowHeight="15"/>
  <cols>
    <col min="6" max="6" width="27.28125" style="0" customWidth="1"/>
  </cols>
  <sheetData>
    <row r="1" ht="15">
      <c r="A1" t="s">
        <v>192</v>
      </c>
    </row>
    <row r="8" ht="15">
      <c r="A8" t="s">
        <v>193</v>
      </c>
    </row>
    <row r="10" spans="1:6" ht="15">
      <c r="A10" s="384" t="s">
        <v>194</v>
      </c>
      <c r="B10" s="384"/>
      <c r="C10" s="384"/>
      <c r="D10" s="384"/>
      <c r="E10" s="384"/>
      <c r="F10" s="384"/>
    </row>
    <row r="11" spans="1:6" ht="15">
      <c r="A11" s="384"/>
      <c r="B11" s="384"/>
      <c r="C11" s="384"/>
      <c r="D11" s="384"/>
      <c r="E11" s="384"/>
      <c r="F11" s="384"/>
    </row>
    <row r="12" spans="1:6" ht="15">
      <c r="A12" s="384"/>
      <c r="B12" s="384"/>
      <c r="C12" s="384"/>
      <c r="D12" s="384"/>
      <c r="E12" s="384"/>
      <c r="F12" s="384"/>
    </row>
    <row r="13" spans="1:6" ht="15">
      <c r="A13" s="384"/>
      <c r="B13" s="384"/>
      <c r="C13" s="384"/>
      <c r="D13" s="384"/>
      <c r="E13" s="384"/>
      <c r="F13" s="384"/>
    </row>
    <row r="14" spans="1:6" ht="15">
      <c r="A14" s="384"/>
      <c r="B14" s="384"/>
      <c r="C14" s="384"/>
      <c r="D14" s="384"/>
      <c r="E14" s="384"/>
      <c r="F14" s="384"/>
    </row>
    <row r="16" ht="15">
      <c r="A16" t="s">
        <v>195</v>
      </c>
    </row>
    <row r="19" ht="15">
      <c r="A19" t="s">
        <v>196</v>
      </c>
    </row>
  </sheetData>
  <sheetProtection/>
  <mergeCells count="1">
    <mergeCell ref="A10:F14"/>
  </mergeCells>
  <printOptions/>
  <pageMargins left="0.75" right="0.75" top="1" bottom="1"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B2:P103"/>
  <sheetViews>
    <sheetView tabSelected="1" zoomScalePageLayoutView="0" workbookViewId="0" topLeftCell="A3">
      <selection activeCell="N15" sqref="N15"/>
    </sheetView>
  </sheetViews>
  <sheetFormatPr defaultColWidth="11.421875" defaultRowHeight="15"/>
  <cols>
    <col min="1" max="1" width="4.140625" style="0" customWidth="1"/>
    <col min="2" max="2" width="47.140625" style="0" bestFit="1" customWidth="1"/>
    <col min="3" max="3" width="13.140625" style="0" bestFit="1" customWidth="1"/>
    <col min="4" max="4" width="16.7109375" style="0" customWidth="1"/>
    <col min="5" max="5" width="15.421875" style="0" customWidth="1"/>
    <col min="6" max="6" width="16.140625" style="0" customWidth="1"/>
    <col min="9" max="9" width="3.140625" style="0" customWidth="1"/>
    <col min="10" max="10" width="19.8515625" style="0" customWidth="1"/>
  </cols>
  <sheetData>
    <row r="2" spans="2:16" ht="18.75">
      <c r="B2" s="67" t="s">
        <v>47</v>
      </c>
      <c r="C2" s="76"/>
      <c r="D2" s="77"/>
      <c r="E2" s="74"/>
      <c r="F2" s="74"/>
      <c r="G2" s="74"/>
      <c r="H2" s="74"/>
      <c r="I2" s="74"/>
      <c r="J2" s="75"/>
      <c r="K2" s="75"/>
      <c r="L2" s="75"/>
      <c r="M2" s="75"/>
      <c r="N2" s="75"/>
      <c r="O2" s="75"/>
      <c r="P2" s="66"/>
    </row>
    <row r="3" spans="2:15" ht="18.75">
      <c r="B3" s="101"/>
      <c r="C3" s="158"/>
      <c r="D3" s="159"/>
      <c r="E3" s="160"/>
      <c r="F3" s="160"/>
      <c r="G3" s="160"/>
      <c r="H3" s="160"/>
      <c r="I3" s="160"/>
      <c r="J3" s="161"/>
      <c r="K3" s="161"/>
      <c r="L3" s="161"/>
      <c r="M3" s="161"/>
      <c r="N3" s="161"/>
      <c r="O3" s="161"/>
    </row>
    <row r="4" spans="2:15" ht="16.5" customHeight="1">
      <c r="B4" s="167" t="s">
        <v>84</v>
      </c>
      <c r="C4" s="253" t="s">
        <v>183</v>
      </c>
      <c r="D4" s="159"/>
      <c r="E4" s="193" t="s">
        <v>93</v>
      </c>
      <c r="F4" s="192"/>
      <c r="H4" s="160"/>
      <c r="I4" s="160"/>
      <c r="J4" s="161"/>
      <c r="K4" s="161"/>
      <c r="L4" s="161"/>
      <c r="M4" s="161"/>
      <c r="N4" s="161"/>
      <c r="O4" s="161"/>
    </row>
    <row r="5" spans="2:15" ht="13.5" customHeight="1">
      <c r="B5" s="167" t="s">
        <v>85</v>
      </c>
      <c r="C5" s="253" t="s">
        <v>183</v>
      </c>
      <c r="D5" s="159"/>
      <c r="E5" s="160"/>
      <c r="F5" s="160"/>
      <c r="G5" s="160"/>
      <c r="H5" s="378"/>
      <c r="I5" s="378"/>
      <c r="J5" s="379"/>
      <c r="K5" s="379"/>
      <c r="L5" s="161"/>
      <c r="M5" s="161"/>
      <c r="N5" s="161"/>
      <c r="O5" s="161"/>
    </row>
    <row r="6" spans="2:15" ht="18.75">
      <c r="B6" s="166"/>
      <c r="C6" s="158"/>
      <c r="D6" s="159"/>
      <c r="E6" s="160"/>
      <c r="F6" s="160"/>
      <c r="G6" s="160"/>
      <c r="H6" s="378"/>
      <c r="I6" s="378"/>
      <c r="J6" s="379" t="s">
        <v>188</v>
      </c>
      <c r="K6" s="379"/>
      <c r="L6" s="161"/>
      <c r="M6" s="161"/>
      <c r="N6" s="161"/>
      <c r="O6" s="161"/>
    </row>
    <row r="7" spans="2:12" ht="15">
      <c r="B7" s="162" t="s">
        <v>13</v>
      </c>
      <c r="C7" s="163"/>
      <c r="D7" s="196" t="s">
        <v>30</v>
      </c>
      <c r="E7" s="164" t="s">
        <v>31</v>
      </c>
      <c r="F7" s="165"/>
      <c r="G7" s="165"/>
      <c r="H7" s="380"/>
      <c r="I7" s="380"/>
      <c r="J7" s="381" t="s">
        <v>0</v>
      </c>
      <c r="K7" s="381" t="s">
        <v>36</v>
      </c>
      <c r="L7" s="157" t="s">
        <v>185</v>
      </c>
    </row>
    <row r="8" spans="2:12" ht="30">
      <c r="B8" s="49" t="s">
        <v>64</v>
      </c>
      <c r="C8" s="28">
        <f>K12</f>
        <v>167000</v>
      </c>
      <c r="D8" s="51"/>
      <c r="E8" s="42"/>
      <c r="H8" s="382"/>
      <c r="I8" s="382"/>
      <c r="J8" s="383" t="s">
        <v>7</v>
      </c>
      <c r="K8" s="381" t="s">
        <v>187</v>
      </c>
      <c r="L8" s="157" t="s">
        <v>186</v>
      </c>
    </row>
    <row r="9" spans="2:12" ht="15">
      <c r="B9" s="49" t="s">
        <v>86</v>
      </c>
      <c r="C9" s="12">
        <v>70</v>
      </c>
      <c r="D9" s="51"/>
      <c r="E9" s="42"/>
      <c r="J9" s="22">
        <v>5.5</v>
      </c>
      <c r="K9" s="17">
        <f>K10-25000</f>
        <v>89000</v>
      </c>
      <c r="L9" s="17">
        <f>K9*1.18</f>
        <v>105020</v>
      </c>
    </row>
    <row r="10" spans="2:12" ht="15">
      <c r="B10" s="36" t="s">
        <v>14</v>
      </c>
      <c r="C10" s="20">
        <v>2</v>
      </c>
      <c r="D10" s="44"/>
      <c r="E10" s="44"/>
      <c r="F10" s="7"/>
      <c r="G10" s="7"/>
      <c r="H10" s="7"/>
      <c r="I10" s="7"/>
      <c r="J10" s="22">
        <v>6</v>
      </c>
      <c r="K10" s="17">
        <v>114000</v>
      </c>
      <c r="L10" s="17">
        <f aca="true" t="shared" si="0" ref="L10:L15">K10*1.18</f>
        <v>134520</v>
      </c>
    </row>
    <row r="11" spans="2:12" ht="15">
      <c r="B11" s="36" t="s">
        <v>88</v>
      </c>
      <c r="C11" s="23">
        <f>C9*C10</f>
        <v>140</v>
      </c>
      <c r="D11" s="44"/>
      <c r="E11" s="44"/>
      <c r="F11" s="7"/>
      <c r="G11" s="7"/>
      <c r="H11" s="7"/>
      <c r="I11" s="7"/>
      <c r="J11" s="11">
        <v>6.5</v>
      </c>
      <c r="K11" s="17">
        <f>(K10+K12)/2</f>
        <v>140500</v>
      </c>
      <c r="L11" s="17">
        <f t="shared" si="0"/>
        <v>165790</v>
      </c>
    </row>
    <row r="12" spans="2:14" ht="15">
      <c r="B12" s="36" t="s">
        <v>89</v>
      </c>
      <c r="C12" s="50">
        <f>(C8*1000/C9)/(365*24*1000)</f>
        <v>0.27234181343770386</v>
      </c>
      <c r="D12" s="44"/>
      <c r="E12" s="44"/>
      <c r="F12" s="7"/>
      <c r="G12" s="7"/>
      <c r="H12" s="7"/>
      <c r="I12" s="7"/>
      <c r="J12" s="11">
        <v>7</v>
      </c>
      <c r="K12" s="17">
        <v>167000</v>
      </c>
      <c r="L12" s="17">
        <f t="shared" si="0"/>
        <v>197060</v>
      </c>
      <c r="N12">
        <f>1000/70</f>
        <v>14.285714285714286</v>
      </c>
    </row>
    <row r="13" spans="2:14" ht="15">
      <c r="B13" s="36" t="s">
        <v>5</v>
      </c>
      <c r="C13" s="26">
        <v>0.95</v>
      </c>
      <c r="D13" s="44"/>
      <c r="E13" s="44"/>
      <c r="F13" s="7"/>
      <c r="G13" s="7"/>
      <c r="H13" s="7"/>
      <c r="I13" s="7"/>
      <c r="J13" s="13">
        <v>7.5</v>
      </c>
      <c r="K13" s="14">
        <f>(K12+K14)/2</f>
        <v>193000</v>
      </c>
      <c r="L13" s="17">
        <f t="shared" si="0"/>
        <v>227740</v>
      </c>
      <c r="N13">
        <f>L13*1000/70</f>
        <v>3253428.5714285714</v>
      </c>
    </row>
    <row r="14" spans="2:12" ht="15">
      <c r="B14" s="34" t="s">
        <v>66</v>
      </c>
      <c r="C14" s="168">
        <f>C8*C10*C13</f>
        <v>317300</v>
      </c>
      <c r="D14" s="31"/>
      <c r="E14" s="31"/>
      <c r="F14" s="7"/>
      <c r="G14" s="7"/>
      <c r="H14" s="7"/>
      <c r="I14" s="7"/>
      <c r="J14" s="13">
        <v>8</v>
      </c>
      <c r="K14" s="14">
        <v>219000</v>
      </c>
      <c r="L14" s="17">
        <f t="shared" si="0"/>
        <v>258420</v>
      </c>
    </row>
    <row r="15" spans="2:14" ht="15">
      <c r="B15" s="4"/>
      <c r="C15" s="104"/>
      <c r="D15" s="7"/>
      <c r="E15" s="7"/>
      <c r="F15" s="7"/>
      <c r="G15" s="7"/>
      <c r="H15" s="7"/>
      <c r="I15" s="7"/>
      <c r="J15" s="11">
        <v>8.5</v>
      </c>
      <c r="K15" s="17">
        <f>K14+(K14-K13)</f>
        <v>245000</v>
      </c>
      <c r="L15" s="17">
        <f t="shared" si="0"/>
        <v>289100</v>
      </c>
      <c r="N15">
        <f>104+7.2+50</f>
        <v>161.2</v>
      </c>
    </row>
    <row r="16" spans="2:11" ht="15">
      <c r="B16" s="190" t="s">
        <v>102</v>
      </c>
      <c r="C16" s="30"/>
      <c r="D16" s="18" t="s">
        <v>77</v>
      </c>
      <c r="E16" s="18" t="s">
        <v>31</v>
      </c>
      <c r="H16" s="7"/>
      <c r="I16" s="7"/>
      <c r="J16" s="16" t="s">
        <v>189</v>
      </c>
      <c r="K16" s="27"/>
    </row>
    <row r="17" spans="2:11" ht="15.75" thickBot="1">
      <c r="B17" s="233" t="s">
        <v>126</v>
      </c>
      <c r="C17" s="236" t="s">
        <v>127</v>
      </c>
      <c r="D17" s="232">
        <f>IF(C17=Sheet1!A1,0,IF('Assumptions '!C17=Sheet1!A2,'Calculation Appendix'!C10,IF('Assumptions '!C17=Sheet1!A3,'Calculation Appendix'!B22)))</f>
        <v>1</v>
      </c>
      <c r="E17" s="233">
        <f>IF(C17=Sheet1!A1,0,IF('Assumptions '!C17=Sheet1!A2,'Calculation Appendix'!D10,IF('Assumptions '!C17=Sheet1!A3,'Calculation Appendix'!G22)))</f>
        <v>25</v>
      </c>
      <c r="F17" s="375"/>
      <c r="H17" s="7"/>
      <c r="I17" s="7"/>
      <c r="J17" s="2"/>
      <c r="K17" s="27"/>
    </row>
    <row r="18" spans="8:11" ht="15.75" thickBot="1">
      <c r="H18" s="7"/>
      <c r="I18" s="7"/>
      <c r="J18" s="377"/>
      <c r="K18" s="27"/>
    </row>
    <row r="19" spans="2:11" ht="15">
      <c r="B19" s="202" t="s">
        <v>129</v>
      </c>
      <c r="C19" s="106">
        <v>0.33</v>
      </c>
      <c r="D19" s="107"/>
      <c r="E19" s="107"/>
      <c r="H19" s="7"/>
      <c r="I19" s="7"/>
      <c r="J19" s="2"/>
      <c r="K19" s="27"/>
    </row>
    <row r="20" spans="2:11" ht="15">
      <c r="B20" s="49" t="s">
        <v>106</v>
      </c>
      <c r="C20" s="329">
        <f>C19*D38</f>
        <v>150150</v>
      </c>
      <c r="D20" s="203"/>
      <c r="E20" s="203"/>
      <c r="F20" s="7"/>
      <c r="G20" s="7"/>
      <c r="H20" s="7"/>
      <c r="I20" s="7"/>
      <c r="J20" s="2"/>
      <c r="K20" s="27"/>
    </row>
    <row r="21" spans="2:11" ht="15">
      <c r="B21" s="3"/>
      <c r="C21" s="27"/>
      <c r="D21" s="7"/>
      <c r="E21" s="7"/>
      <c r="F21" s="7"/>
      <c r="G21" s="7"/>
      <c r="H21" s="7"/>
      <c r="I21" s="7"/>
      <c r="J21" s="54"/>
      <c r="K21" s="27"/>
    </row>
    <row r="22" spans="2:16" ht="18.75">
      <c r="B22" s="67" t="s">
        <v>8</v>
      </c>
      <c r="C22" s="287"/>
      <c r="D22" s="72"/>
      <c r="E22" s="69"/>
      <c r="F22" s="69"/>
      <c r="G22" s="69"/>
      <c r="H22" s="69"/>
      <c r="I22" s="69"/>
      <c r="J22" s="73"/>
      <c r="K22" s="73"/>
      <c r="L22" s="73"/>
      <c r="M22" s="73"/>
      <c r="N22" s="73"/>
      <c r="O22" s="73"/>
      <c r="P22" s="66"/>
    </row>
    <row r="23" spans="2:15" s="6" customFormat="1" ht="30">
      <c r="B23" s="288"/>
      <c r="C23" s="289"/>
      <c r="D23" s="290" t="s">
        <v>95</v>
      </c>
      <c r="E23" s="291" t="s">
        <v>30</v>
      </c>
      <c r="F23" s="291" t="s">
        <v>31</v>
      </c>
      <c r="G23" s="102"/>
      <c r="H23" s="102"/>
      <c r="I23" s="102"/>
      <c r="M23" s="103"/>
      <c r="N23" s="103"/>
      <c r="O23" s="103"/>
    </row>
    <row r="24" spans="2:9" ht="15">
      <c r="B24" s="36" t="s">
        <v>99</v>
      </c>
      <c r="C24" s="326">
        <v>0.15</v>
      </c>
      <c r="D24" s="106">
        <v>0.02</v>
      </c>
      <c r="E24" s="252">
        <v>1</v>
      </c>
      <c r="F24" s="252">
        <v>25</v>
      </c>
      <c r="G24" s="7"/>
      <c r="H24" s="7"/>
      <c r="I24" s="7"/>
    </row>
    <row r="25" spans="2:9" ht="15">
      <c r="B25" s="36" t="s">
        <v>100</v>
      </c>
      <c r="C25" s="326">
        <v>0</v>
      </c>
      <c r="D25" s="251">
        <v>0.02</v>
      </c>
      <c r="E25" s="252">
        <v>1</v>
      </c>
      <c r="F25" s="252">
        <v>25</v>
      </c>
      <c r="G25" s="7"/>
      <c r="H25" s="7"/>
      <c r="I25" s="7"/>
    </row>
    <row r="26" spans="2:9" ht="15">
      <c r="B26" s="36" t="s">
        <v>101</v>
      </c>
      <c r="C26" s="326">
        <v>0</v>
      </c>
      <c r="D26" s="251">
        <v>0</v>
      </c>
      <c r="E26" s="252">
        <v>1</v>
      </c>
      <c r="F26" s="252">
        <v>25</v>
      </c>
      <c r="G26" s="7"/>
      <c r="H26" s="7"/>
      <c r="I26" s="7"/>
    </row>
    <row r="27" spans="2:10" ht="15.75" thickBot="1">
      <c r="B27" s="292" t="s">
        <v>65</v>
      </c>
      <c r="C27" s="327">
        <f>SUM(C24:C26)</f>
        <v>0.15</v>
      </c>
      <c r="D27" s="293"/>
      <c r="E27" s="293"/>
      <c r="F27" s="293"/>
      <c r="G27" s="7"/>
      <c r="H27" s="7"/>
      <c r="I27" s="7"/>
      <c r="J27" s="24"/>
    </row>
    <row r="28" spans="2:10" ht="15.75" thickTop="1">
      <c r="B28" s="5"/>
      <c r="C28" s="197"/>
      <c r="D28" s="7"/>
      <c r="E28" s="7"/>
      <c r="F28" s="7"/>
      <c r="G28" s="7"/>
      <c r="H28" s="7"/>
      <c r="I28" s="7"/>
      <c r="J28" s="24"/>
    </row>
    <row r="29" spans="2:8" ht="15">
      <c r="B29" s="162" t="s">
        <v>12</v>
      </c>
      <c r="C29" s="164" t="s">
        <v>141</v>
      </c>
      <c r="D29" s="164" t="s">
        <v>142</v>
      </c>
      <c r="E29" s="78" t="s">
        <v>30</v>
      </c>
      <c r="F29" s="78" t="s">
        <v>31</v>
      </c>
      <c r="H29" s="24"/>
    </row>
    <row r="30" spans="2:8" ht="15">
      <c r="B30" s="49" t="s">
        <v>182</v>
      </c>
      <c r="C30" s="26">
        <v>0</v>
      </c>
      <c r="D30" s="250"/>
      <c r="E30" s="23">
        <v>1</v>
      </c>
      <c r="F30" s="252">
        <v>1</v>
      </c>
      <c r="H30" s="24"/>
    </row>
    <row r="31" spans="2:8" ht="15">
      <c r="B31" s="49" t="s">
        <v>140</v>
      </c>
      <c r="C31" s="326">
        <v>0</v>
      </c>
      <c r="D31" s="251">
        <v>0.02</v>
      </c>
      <c r="E31" s="252">
        <v>1</v>
      </c>
      <c r="F31" s="252">
        <v>5</v>
      </c>
      <c r="G31" s="7"/>
      <c r="H31" s="24"/>
    </row>
    <row r="32" spans="2:10" ht="15">
      <c r="B32" s="5"/>
      <c r="C32" s="8"/>
      <c r="D32" s="7"/>
      <c r="E32" s="7"/>
      <c r="F32" s="7"/>
      <c r="G32" s="7"/>
      <c r="H32" s="7"/>
      <c r="I32" s="7"/>
      <c r="J32" s="24"/>
    </row>
    <row r="33" spans="2:16" ht="18.75">
      <c r="B33" s="67" t="s">
        <v>190</v>
      </c>
      <c r="C33" s="63"/>
      <c r="D33" s="64"/>
      <c r="E33" s="64"/>
      <c r="F33" s="64"/>
      <c r="G33" s="64"/>
      <c r="H33" s="64"/>
      <c r="I33" s="64"/>
      <c r="J33" s="65"/>
      <c r="K33" s="66"/>
      <c r="L33" s="66"/>
      <c r="M33" s="66"/>
      <c r="N33" s="66"/>
      <c r="O33" s="66"/>
      <c r="P33" s="66"/>
    </row>
    <row r="34" spans="2:16" ht="30">
      <c r="B34" s="34" t="s">
        <v>15</v>
      </c>
      <c r="C34" s="322" t="s">
        <v>35</v>
      </c>
      <c r="D34" s="323" t="s">
        <v>70</v>
      </c>
      <c r="E34" s="35"/>
      <c r="F34" s="9"/>
      <c r="G34" s="9"/>
      <c r="H34" s="9"/>
      <c r="I34" s="7"/>
      <c r="J34" s="173" t="s">
        <v>16</v>
      </c>
      <c r="K34" s="48" t="s">
        <v>92</v>
      </c>
      <c r="L34" s="30"/>
      <c r="M34" s="30"/>
      <c r="N34" s="108" t="s">
        <v>69</v>
      </c>
      <c r="O34" s="18" t="s">
        <v>32</v>
      </c>
      <c r="P34" s="18" t="s">
        <v>31</v>
      </c>
    </row>
    <row r="35" spans="2:16" ht="15">
      <c r="B35" s="36" t="s">
        <v>1</v>
      </c>
      <c r="C35" s="332">
        <v>2500</v>
      </c>
      <c r="D35" s="337">
        <f>C35*$C$9*$C$10</f>
        <v>350000</v>
      </c>
      <c r="E35" s="35"/>
      <c r="F35" s="9"/>
      <c r="G35" s="8"/>
      <c r="H35" s="8"/>
      <c r="I35" s="7"/>
      <c r="J35" s="30" t="s">
        <v>59</v>
      </c>
      <c r="K35" s="324">
        <f>$C$8/1000*C$10*C$13*M35</f>
        <v>951.9000000000001</v>
      </c>
      <c r="L35" s="31" t="s">
        <v>27</v>
      </c>
      <c r="M35" s="326">
        <v>3</v>
      </c>
      <c r="N35" s="109"/>
      <c r="O35" s="33">
        <v>1</v>
      </c>
      <c r="P35" s="33">
        <v>20</v>
      </c>
    </row>
    <row r="36" spans="2:16" ht="15">
      <c r="B36" s="36" t="s">
        <v>2</v>
      </c>
      <c r="C36" s="332">
        <v>200</v>
      </c>
      <c r="D36" s="337">
        <f>C36*$C$9*$C$10</f>
        <v>28000</v>
      </c>
      <c r="E36" s="35"/>
      <c r="F36" s="9"/>
      <c r="G36" s="8"/>
      <c r="H36" s="8"/>
      <c r="I36" s="7"/>
      <c r="J36" s="30" t="s">
        <v>60</v>
      </c>
      <c r="K36" s="324">
        <f>$C$8/1000*C$10*C$13*M36</f>
        <v>158.65</v>
      </c>
      <c r="L36" s="31" t="s">
        <v>27</v>
      </c>
      <c r="M36" s="326">
        <v>0.5</v>
      </c>
      <c r="N36" s="109"/>
      <c r="O36" s="33">
        <v>1</v>
      </c>
      <c r="P36" s="33">
        <v>20</v>
      </c>
    </row>
    <row r="37" spans="2:16" ht="15">
      <c r="B37" s="36" t="s">
        <v>3</v>
      </c>
      <c r="C37" s="332">
        <v>550</v>
      </c>
      <c r="D37" s="337">
        <f>C37*$C$9*$C$10</f>
        <v>77000</v>
      </c>
      <c r="E37" s="52"/>
      <c r="F37" s="8"/>
      <c r="G37" s="8"/>
      <c r="H37" s="8"/>
      <c r="I37" s="7"/>
      <c r="J37" s="30" t="s">
        <v>61</v>
      </c>
      <c r="K37" s="324">
        <f>$C$8/1000*C$10*C$13*M37</f>
        <v>158.65</v>
      </c>
      <c r="L37" s="31" t="s">
        <v>27</v>
      </c>
      <c r="M37" s="326">
        <v>0.5</v>
      </c>
      <c r="N37" s="109"/>
      <c r="O37" s="33">
        <v>1</v>
      </c>
      <c r="P37" s="33">
        <v>20</v>
      </c>
    </row>
    <row r="38" spans="2:16" ht="15">
      <c r="B38" s="238" t="s">
        <v>58</v>
      </c>
      <c r="C38" s="357">
        <f>SUM(C35:C37)</f>
        <v>3250</v>
      </c>
      <c r="D38" s="328">
        <f>SUM(D35:D37)</f>
        <v>455000</v>
      </c>
      <c r="E38" s="53"/>
      <c r="F38" s="8"/>
      <c r="G38" s="8"/>
      <c r="H38" s="8"/>
      <c r="I38" s="7"/>
      <c r="J38" s="30" t="s">
        <v>161</v>
      </c>
      <c r="K38" s="324">
        <f>$C$8/1000*C$10*C$13*M38</f>
        <v>475.95000000000005</v>
      </c>
      <c r="L38" s="31" t="s">
        <v>27</v>
      </c>
      <c r="M38" s="326">
        <v>1.5</v>
      </c>
      <c r="N38" s="109"/>
      <c r="O38" s="33">
        <v>1</v>
      </c>
      <c r="P38" s="33">
        <v>20</v>
      </c>
    </row>
    <row r="39" spans="2:16" ht="15.75" thickBot="1">
      <c r="B39" s="240" t="s">
        <v>191</v>
      </c>
      <c r="C39" s="241"/>
      <c r="D39" s="241"/>
      <c r="E39" s="25"/>
      <c r="F39" s="25"/>
      <c r="G39" s="25"/>
      <c r="H39" s="25"/>
      <c r="I39" s="7"/>
      <c r="J39" s="38" t="s">
        <v>17</v>
      </c>
      <c r="K39" s="330">
        <f>SUM(K35:K38)</f>
        <v>1745.1500000000003</v>
      </c>
      <c r="L39" s="110"/>
      <c r="M39" s="330">
        <f>SUM(M35:M38)</f>
        <v>5.5</v>
      </c>
      <c r="N39" s="191">
        <v>0.02</v>
      </c>
      <c r="O39" s="111"/>
      <c r="P39" s="111"/>
    </row>
    <row r="40" spans="2:13" ht="16.5" thickBot="1" thickTop="1">
      <c r="B40" s="239"/>
      <c r="C40" s="39"/>
      <c r="D40" s="39"/>
      <c r="E40" s="39"/>
      <c r="F40" s="39"/>
      <c r="G40" s="39"/>
      <c r="H40" s="39"/>
      <c r="I40" s="7"/>
      <c r="J40" s="321" t="s">
        <v>162</v>
      </c>
      <c r="K40" s="330">
        <f>K39/C10</f>
        <v>872.5750000000002</v>
      </c>
      <c r="M40" s="308"/>
    </row>
    <row r="41" spans="2:16" ht="15.75" thickTop="1">
      <c r="B41" s="5"/>
      <c r="C41" s="8"/>
      <c r="D41" s="7"/>
      <c r="E41" s="7"/>
      <c r="F41" s="7"/>
      <c r="G41" s="7"/>
      <c r="H41" s="7"/>
      <c r="I41" s="7"/>
      <c r="J41" s="24"/>
      <c r="O41" s="2" t="s">
        <v>30</v>
      </c>
      <c r="P41" s="2" t="s">
        <v>31</v>
      </c>
    </row>
    <row r="42" spans="2:16" ht="45">
      <c r="B42" s="34" t="s">
        <v>33</v>
      </c>
      <c r="C42" s="174" t="s">
        <v>92</v>
      </c>
      <c r="D42" s="31"/>
      <c r="E42" s="120" t="s">
        <v>71</v>
      </c>
      <c r="F42" s="121" t="s">
        <v>95</v>
      </c>
      <c r="G42" s="78" t="s">
        <v>30</v>
      </c>
      <c r="H42" s="78" t="s">
        <v>31</v>
      </c>
      <c r="I42" s="7"/>
      <c r="J42" s="32" t="s">
        <v>96</v>
      </c>
      <c r="K42" s="354">
        <f>C8/1000*C10*C13*M42</f>
        <v>317.3</v>
      </c>
      <c r="L42" s="31" t="s">
        <v>27</v>
      </c>
      <c r="M42" s="353">
        <v>1</v>
      </c>
      <c r="N42" s="105">
        <v>0.02</v>
      </c>
      <c r="O42" s="47">
        <v>1</v>
      </c>
      <c r="P42" s="47">
        <v>25</v>
      </c>
    </row>
    <row r="43" spans="2:11" ht="15">
      <c r="B43" s="30" t="s">
        <v>9</v>
      </c>
      <c r="C43" s="324">
        <f>$C$8/1000*C$10*C$13*E43</f>
        <v>158.65</v>
      </c>
      <c r="D43" s="31" t="s">
        <v>27</v>
      </c>
      <c r="E43" s="353">
        <v>0.5</v>
      </c>
      <c r="F43" s="105">
        <v>0.02</v>
      </c>
      <c r="G43" s="40">
        <v>1</v>
      </c>
      <c r="H43" s="40">
        <v>25</v>
      </c>
      <c r="I43" s="7"/>
      <c r="J43" s="29"/>
      <c r="K43" s="6"/>
    </row>
    <row r="44" spans="2:16" ht="15">
      <c r="B44" s="30" t="s">
        <v>28</v>
      </c>
      <c r="C44" s="325">
        <f>E44*$C$27*$C$14</f>
        <v>0</v>
      </c>
      <c r="D44" s="19" t="s">
        <v>8</v>
      </c>
      <c r="E44" s="309">
        <v>0</v>
      </c>
      <c r="F44" s="105">
        <v>0.02</v>
      </c>
      <c r="G44" s="40">
        <v>1</v>
      </c>
      <c r="H44" s="40">
        <v>25</v>
      </c>
      <c r="I44" s="7"/>
      <c r="J44" s="32" t="s">
        <v>68</v>
      </c>
      <c r="K44" s="48" t="s">
        <v>70</v>
      </c>
      <c r="L44" s="48" t="s">
        <v>11</v>
      </c>
      <c r="M44" s="190" t="s">
        <v>30</v>
      </c>
      <c r="N44" s="195"/>
      <c r="O44" s="189"/>
      <c r="P44" s="189"/>
    </row>
    <row r="45" spans="2:16" ht="15">
      <c r="B45" s="232" t="s">
        <v>157</v>
      </c>
      <c r="C45" s="325">
        <f>E45*$C$27*$C$14</f>
        <v>951.9</v>
      </c>
      <c r="D45" s="31"/>
      <c r="E45" s="309">
        <v>0.02</v>
      </c>
      <c r="F45" s="251">
        <v>0.02</v>
      </c>
      <c r="G45" s="41">
        <v>1</v>
      </c>
      <c r="H45" s="41">
        <v>25</v>
      </c>
      <c r="I45" s="7"/>
      <c r="J45" s="30" t="s">
        <v>62</v>
      </c>
      <c r="K45" s="331">
        <f>L45*C10</f>
        <v>20000</v>
      </c>
      <c r="L45" s="332">
        <v>10000</v>
      </c>
      <c r="M45" s="194">
        <v>10</v>
      </c>
      <c r="N45" s="188"/>
      <c r="O45" s="189"/>
      <c r="P45" s="189"/>
    </row>
    <row r="46" spans="2:16" ht="15">
      <c r="B46" s="33" t="s">
        <v>19</v>
      </c>
      <c r="C46" s="325">
        <f>E46*$C$27*$C$14</f>
        <v>237.975</v>
      </c>
      <c r="D46" s="19" t="s">
        <v>8</v>
      </c>
      <c r="E46" s="309">
        <v>0.005</v>
      </c>
      <c r="F46" s="105">
        <v>0.02</v>
      </c>
      <c r="G46" s="40">
        <v>1</v>
      </c>
      <c r="H46" s="40">
        <v>25</v>
      </c>
      <c r="I46" s="7"/>
      <c r="J46" s="30" t="s">
        <v>63</v>
      </c>
      <c r="K46" s="331">
        <f>L46*C10</f>
        <v>40000</v>
      </c>
      <c r="L46" s="332">
        <v>20000</v>
      </c>
      <c r="M46" s="194">
        <v>15</v>
      </c>
      <c r="N46" s="188"/>
      <c r="O46" s="189"/>
      <c r="P46" s="189"/>
    </row>
    <row r="47" spans="2:11" ht="15">
      <c r="B47" s="33" t="s">
        <v>26</v>
      </c>
      <c r="C47" s="326">
        <v>0</v>
      </c>
      <c r="D47" s="44"/>
      <c r="E47" s="44"/>
      <c r="F47" s="105"/>
      <c r="G47" s="41">
        <v>1</v>
      </c>
      <c r="H47" s="41">
        <v>3</v>
      </c>
      <c r="I47" s="7"/>
      <c r="J47" s="29"/>
      <c r="K47" s="299"/>
    </row>
    <row r="48" spans="2:9" ht="15">
      <c r="B48" s="30" t="s">
        <v>105</v>
      </c>
      <c r="C48" s="324">
        <f>$C$8/1000*C$10*C$13*E48</f>
        <v>2538.4</v>
      </c>
      <c r="D48" s="31" t="s">
        <v>27</v>
      </c>
      <c r="E48" s="353">
        <v>8</v>
      </c>
      <c r="F48" s="105">
        <v>0.02</v>
      </c>
      <c r="G48" s="40">
        <v>4</v>
      </c>
      <c r="H48" s="40">
        <v>10</v>
      </c>
      <c r="I48" s="7"/>
    </row>
    <row r="49" spans="2:10" ht="15">
      <c r="B49" s="30" t="s">
        <v>29</v>
      </c>
      <c r="C49" s="325">
        <f>E49*$C$27*$C$14</f>
        <v>0</v>
      </c>
      <c r="D49" s="31" t="s">
        <v>8</v>
      </c>
      <c r="E49" s="21">
        <v>0</v>
      </c>
      <c r="F49" s="105">
        <v>0.02</v>
      </c>
      <c r="G49" s="40">
        <v>1</v>
      </c>
      <c r="H49" s="40">
        <v>25</v>
      </c>
      <c r="I49" s="7"/>
      <c r="J49" s="29"/>
    </row>
    <row r="50" spans="2:10" ht="15">
      <c r="B50" s="33" t="s">
        <v>18</v>
      </c>
      <c r="C50" s="325">
        <f>E50*$C$27*$C$14</f>
        <v>237.975</v>
      </c>
      <c r="D50" s="31" t="s">
        <v>8</v>
      </c>
      <c r="E50" s="43">
        <v>0.005</v>
      </c>
      <c r="F50" s="105">
        <v>0.02</v>
      </c>
      <c r="G50" s="41">
        <v>1</v>
      </c>
      <c r="H50" s="41">
        <v>25</v>
      </c>
      <c r="I50" s="7"/>
      <c r="J50" s="29"/>
    </row>
    <row r="51" spans="2:10" ht="15.75" thickBot="1">
      <c r="B51" s="37" t="s">
        <v>34</v>
      </c>
      <c r="C51" s="358">
        <f>SUM(C43:C50)</f>
        <v>4124.900000000001</v>
      </c>
      <c r="D51" s="45"/>
      <c r="E51" s="46"/>
      <c r="F51" s="122"/>
      <c r="G51" s="46"/>
      <c r="H51" s="46"/>
      <c r="I51" s="7"/>
      <c r="J51" s="29"/>
    </row>
    <row r="52" spans="9:10" ht="15.75" thickTop="1">
      <c r="I52" s="7"/>
      <c r="J52" s="29"/>
    </row>
    <row r="53" spans="2:10" ht="15">
      <c r="B53" s="18" t="s">
        <v>158</v>
      </c>
      <c r="C53" s="298" t="s">
        <v>159</v>
      </c>
      <c r="I53" s="7"/>
      <c r="J53" s="29"/>
    </row>
    <row r="54" spans="2:10" ht="15">
      <c r="B54" s="297" t="s">
        <v>160</v>
      </c>
      <c r="C54" s="138">
        <v>0.2</v>
      </c>
      <c r="I54" s="7"/>
      <c r="J54" s="29"/>
    </row>
    <row r="55" spans="2:10" ht="15">
      <c r="B55" s="333"/>
      <c r="C55" s="334"/>
      <c r="I55" s="7"/>
      <c r="J55" s="29"/>
    </row>
    <row r="56" spans="9:10" ht="15">
      <c r="I56" s="7"/>
      <c r="J56" s="29"/>
    </row>
    <row r="57" spans="2:16" ht="18.75">
      <c r="B57" s="68" t="s">
        <v>46</v>
      </c>
      <c r="C57" s="68"/>
      <c r="D57" s="68"/>
      <c r="E57" s="68"/>
      <c r="F57" s="68"/>
      <c r="G57" s="68"/>
      <c r="H57" s="68"/>
      <c r="I57" s="69"/>
      <c r="J57" s="70"/>
      <c r="K57" s="68"/>
      <c r="L57" s="68"/>
      <c r="M57" s="68"/>
      <c r="N57" s="68"/>
      <c r="O57" s="68"/>
      <c r="P57" s="66"/>
    </row>
    <row r="58" spans="2:14" ht="15">
      <c r="B58" s="79" t="s">
        <v>109</v>
      </c>
      <c r="C58" s="80"/>
      <c r="D58" s="81"/>
      <c r="E58" s="81"/>
      <c r="F58" s="81"/>
      <c r="G58" s="7"/>
      <c r="H58" s="7"/>
      <c r="I58" s="29"/>
      <c r="J58" s="79" t="s">
        <v>37</v>
      </c>
      <c r="K58" s="310">
        <v>0</v>
      </c>
      <c r="L58" s="81"/>
      <c r="M58" s="81" t="s">
        <v>30</v>
      </c>
      <c r="N58" s="81" t="s">
        <v>31</v>
      </c>
    </row>
    <row r="59" spans="2:14" ht="15">
      <c r="B59" s="60" t="s">
        <v>42</v>
      </c>
      <c r="C59" s="336">
        <f>D38-K59</f>
        <v>455000</v>
      </c>
      <c r="D59" s="55"/>
      <c r="E59" s="55"/>
      <c r="F59" s="55"/>
      <c r="G59" s="7"/>
      <c r="H59" s="7"/>
      <c r="I59" s="29"/>
      <c r="J59" s="60" t="s">
        <v>38</v>
      </c>
      <c r="K59" s="336">
        <f>D38*K58</f>
        <v>0</v>
      </c>
      <c r="L59" s="55"/>
      <c r="M59" s="55"/>
      <c r="N59" s="55"/>
    </row>
    <row r="60" spans="2:14" ht="15">
      <c r="B60" s="60" t="s">
        <v>43</v>
      </c>
      <c r="C60" s="59">
        <v>0.08</v>
      </c>
      <c r="D60" s="55"/>
      <c r="E60" s="55"/>
      <c r="F60" s="55"/>
      <c r="G60" s="7"/>
      <c r="H60" s="7"/>
      <c r="I60" s="29"/>
      <c r="J60" s="60" t="s">
        <v>39</v>
      </c>
      <c r="K60" s="201">
        <v>10</v>
      </c>
      <c r="L60" s="55"/>
      <c r="M60" s="55"/>
      <c r="N60" s="55"/>
    </row>
    <row r="61" spans="2:14" ht="15">
      <c r="B61" s="60" t="s">
        <v>44</v>
      </c>
      <c r="C61" s="59">
        <v>0</v>
      </c>
      <c r="D61" s="55"/>
      <c r="E61" s="55"/>
      <c r="F61" s="55"/>
      <c r="G61" s="7"/>
      <c r="H61" s="7"/>
      <c r="I61" s="29"/>
      <c r="J61" s="60" t="s">
        <v>40</v>
      </c>
      <c r="K61" s="59">
        <v>0.08</v>
      </c>
      <c r="L61" s="55"/>
      <c r="M61" s="55"/>
      <c r="N61" s="55"/>
    </row>
    <row r="62" spans="2:14" ht="15">
      <c r="B62" s="60" t="s">
        <v>45</v>
      </c>
      <c r="C62" s="71">
        <v>0.08</v>
      </c>
      <c r="D62" s="62"/>
      <c r="E62" s="62"/>
      <c r="F62" s="62"/>
      <c r="G62" s="7"/>
      <c r="H62" s="7"/>
      <c r="I62" s="29"/>
      <c r="J62" s="60" t="s">
        <v>41</v>
      </c>
      <c r="K62" s="374">
        <f>-PMT(K61,K60,K59)</f>
        <v>0</v>
      </c>
      <c r="L62" s="55"/>
      <c r="M62" s="61">
        <v>0</v>
      </c>
      <c r="N62" s="100">
        <v>10</v>
      </c>
    </row>
    <row r="63" spans="2:9" ht="15">
      <c r="B63" s="56"/>
      <c r="C63" s="57"/>
      <c r="D63" s="58"/>
      <c r="E63" s="58"/>
      <c r="F63" s="58"/>
      <c r="G63" s="7"/>
      <c r="H63" s="7"/>
      <c r="I63" s="29"/>
    </row>
    <row r="64" spans="2:9" ht="15">
      <c r="B64" s="79" t="s">
        <v>110</v>
      </c>
      <c r="C64" s="80"/>
      <c r="D64" s="81"/>
      <c r="E64" s="81"/>
      <c r="F64" s="81"/>
      <c r="G64" s="7"/>
      <c r="H64" s="7"/>
      <c r="I64" s="29"/>
    </row>
    <row r="65" spans="2:9" ht="15">
      <c r="B65" s="60" t="s">
        <v>42</v>
      </c>
      <c r="C65" s="336">
        <f>SUM('Pro Forma'!O54:BF54)</f>
        <v>0</v>
      </c>
      <c r="D65" s="55"/>
      <c r="E65" s="55"/>
      <c r="F65" s="55"/>
      <c r="G65" s="7"/>
      <c r="H65" s="7"/>
      <c r="I65" s="29"/>
    </row>
    <row r="66" spans="2:9" ht="15">
      <c r="B66" s="60" t="s">
        <v>43</v>
      </c>
      <c r="C66" s="59">
        <v>0.08</v>
      </c>
      <c r="D66" s="55"/>
      <c r="E66" s="55"/>
      <c r="F66" s="55"/>
      <c r="G66" s="7"/>
      <c r="H66" s="7"/>
      <c r="I66" s="29"/>
    </row>
    <row r="67" spans="2:9" ht="15">
      <c r="B67" s="60" t="s">
        <v>44</v>
      </c>
      <c r="C67" s="59">
        <v>0</v>
      </c>
      <c r="D67" s="55"/>
      <c r="E67" s="55"/>
      <c r="F67" s="55"/>
      <c r="G67" s="7"/>
      <c r="H67" s="7"/>
      <c r="I67" s="29"/>
    </row>
    <row r="68" spans="2:9" ht="15">
      <c r="B68" s="60" t="s">
        <v>45</v>
      </c>
      <c r="C68" s="71">
        <v>0.08</v>
      </c>
      <c r="D68" s="62"/>
      <c r="E68" s="62"/>
      <c r="F68" s="62"/>
      <c r="G68" s="7"/>
      <c r="H68" s="7"/>
      <c r="I68" s="29"/>
    </row>
    <row r="69" spans="2:9" ht="15">
      <c r="B69" s="56"/>
      <c r="C69" s="57"/>
      <c r="D69" s="58"/>
      <c r="E69" s="58"/>
      <c r="F69" s="58"/>
      <c r="G69" s="7"/>
      <c r="H69" s="7"/>
      <c r="I69" s="29"/>
    </row>
    <row r="70" spans="7:8" ht="15">
      <c r="G70" s="7"/>
      <c r="H70" s="7"/>
    </row>
    <row r="71" spans="2:6" ht="15">
      <c r="B71" s="79" t="s">
        <v>107</v>
      </c>
      <c r="C71" s="206"/>
      <c r="D71" s="81" t="s">
        <v>30</v>
      </c>
      <c r="E71" s="81" t="s">
        <v>108</v>
      </c>
      <c r="F71" s="9"/>
    </row>
    <row r="72" spans="2:6" ht="15">
      <c r="B72" s="60" t="s">
        <v>138</v>
      </c>
      <c r="C72" s="243">
        <v>0</v>
      </c>
      <c r="D72" s="81"/>
      <c r="E72" s="81"/>
      <c r="F72" s="9"/>
    </row>
    <row r="73" spans="2:6" ht="15">
      <c r="B73" s="60" t="s">
        <v>132</v>
      </c>
      <c r="C73" s="208">
        <v>1</v>
      </c>
      <c r="D73" s="207">
        <v>1</v>
      </c>
      <c r="E73" s="207">
        <f>C72</f>
        <v>0</v>
      </c>
      <c r="F73" s="7"/>
    </row>
    <row r="74" spans="2:6" ht="15">
      <c r="B74" s="60" t="s">
        <v>133</v>
      </c>
      <c r="C74" s="208">
        <v>1</v>
      </c>
      <c r="D74" s="207">
        <f>C72+1</f>
        <v>1</v>
      </c>
      <c r="E74" s="244">
        <v>20</v>
      </c>
      <c r="F74" s="7"/>
    </row>
    <row r="75" spans="2:6" ht="15">
      <c r="B75" s="60" t="s">
        <v>134</v>
      </c>
      <c r="C75" s="237">
        <f>IF(AND(C72&lt;=E73,C72&gt;=D73),(1-C73),0)</f>
        <v>0</v>
      </c>
      <c r="D75" s="207">
        <v>1</v>
      </c>
      <c r="E75" s="207">
        <f>C72</f>
        <v>0</v>
      </c>
      <c r="F75" s="7"/>
    </row>
    <row r="76" spans="2:6" ht="15">
      <c r="B76" s="60" t="s">
        <v>135</v>
      </c>
      <c r="C76" s="237">
        <f>IF(AND(C72&lt;=E76,C72&gt;=D75),(1-C74),0)</f>
        <v>0</v>
      </c>
      <c r="D76" s="207">
        <f>C72+1</f>
        <v>1</v>
      </c>
      <c r="E76" s="244">
        <v>20</v>
      </c>
      <c r="F76" s="7"/>
    </row>
    <row r="77" spans="2:6" ht="15">
      <c r="B77" s="60" t="s">
        <v>38</v>
      </c>
      <c r="C77" s="335">
        <f>K59</f>
        <v>0</v>
      </c>
      <c r="D77" s="55"/>
      <c r="E77" s="55"/>
      <c r="F77" s="10"/>
    </row>
    <row r="78" spans="3:8" ht="15">
      <c r="C78" s="299"/>
      <c r="G78" s="10"/>
      <c r="H78" s="10"/>
    </row>
    <row r="79" spans="2:9" ht="15">
      <c r="B79" s="302" t="s">
        <v>169</v>
      </c>
      <c r="C79" s="30"/>
      <c r="I79" s="10"/>
    </row>
    <row r="80" spans="2:9" ht="15">
      <c r="B80" s="36" t="s">
        <v>170</v>
      </c>
      <c r="C80" s="331">
        <f>D38</f>
        <v>455000</v>
      </c>
      <c r="I80" s="7"/>
    </row>
    <row r="81" spans="2:9" ht="15">
      <c r="B81" s="30" t="s">
        <v>171</v>
      </c>
      <c r="C81" s="303">
        <v>0.08</v>
      </c>
      <c r="I81" s="15"/>
    </row>
    <row r="82" ht="15">
      <c r="I82" s="7"/>
    </row>
    <row r="83" ht="15">
      <c r="I83" s="7"/>
    </row>
    <row r="84" ht="15">
      <c r="I84" s="7"/>
    </row>
    <row r="94" ht="15">
      <c r="I94" s="1"/>
    </row>
    <row r="95" ht="15">
      <c r="I95" s="7"/>
    </row>
    <row r="96" ht="15">
      <c r="I96" s="7"/>
    </row>
    <row r="97" ht="15">
      <c r="I97" s="7"/>
    </row>
    <row r="98" ht="15">
      <c r="I98" s="7"/>
    </row>
    <row r="99" ht="15">
      <c r="I99" s="7"/>
    </row>
    <row r="100" ht="15">
      <c r="I100" s="7"/>
    </row>
    <row r="101" ht="15">
      <c r="I101" s="7"/>
    </row>
    <row r="102" ht="15">
      <c r="I102" s="7"/>
    </row>
    <row r="103" ht="15">
      <c r="I103" s="7"/>
    </row>
  </sheetData>
  <sheetProtection/>
  <dataValidations count="1">
    <dataValidation type="list" allowBlank="1" showInputMessage="1" showErrorMessage="1" sqref="C17">
      <formula1>Sheet1!$A$1:$A$3</formula1>
    </dataValidation>
  </dataValidation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FL140"/>
  <sheetViews>
    <sheetView zoomScalePageLayoutView="0" workbookViewId="0" topLeftCell="A1">
      <pane xSplit="6" ySplit="8" topLeftCell="BC28" activePane="bottomRight" state="frozen"/>
      <selection pane="topLeft" activeCell="A1" sqref="A1"/>
      <selection pane="topRight" activeCell="G1" sqref="G1"/>
      <selection pane="bottomLeft" activeCell="A18" sqref="A18"/>
      <selection pane="bottomRight" activeCell="B68" sqref="B68"/>
    </sheetView>
  </sheetViews>
  <sheetFormatPr defaultColWidth="11.421875" defaultRowHeight="15" outlineLevelCol="1"/>
  <cols>
    <col min="1" max="1" width="51.28125" style="114" bestFit="1" customWidth="1"/>
    <col min="2" max="2" width="12.7109375" style="114" customWidth="1"/>
    <col min="3" max="5" width="10.8515625" style="114" hidden="1" customWidth="1" outlineLevel="1"/>
    <col min="6" max="6" width="9.28125" style="114" hidden="1" customWidth="1" outlineLevel="1"/>
    <col min="7" max="13" width="10.8515625" style="114" hidden="1" customWidth="1" outlineLevel="1"/>
    <col min="14" max="14" width="10.8515625" style="130" hidden="1" customWidth="1" outlineLevel="1"/>
    <col min="15" max="15" width="12.28125" style="137" bestFit="1" customWidth="1" collapsed="1"/>
    <col min="16" max="27" width="10.8515625" style="114" hidden="1" customWidth="1" outlineLevel="1"/>
    <col min="28" max="28" width="11.7109375" style="123" customWidth="1" collapsed="1"/>
    <col min="29" max="40" width="10.8515625" style="114" hidden="1" customWidth="1" outlineLevel="1"/>
    <col min="41" max="41" width="12.28125" style="123" customWidth="1" collapsed="1"/>
    <col min="42" max="42" width="13.8515625" style="123" customWidth="1"/>
    <col min="43" max="43" width="14.140625" style="123" customWidth="1"/>
    <col min="44" max="46" width="11.8515625" style="123" bestFit="1" customWidth="1"/>
    <col min="47" max="47" width="13.7109375" style="123" customWidth="1"/>
    <col min="48" max="48" width="12.8515625" style="123" customWidth="1"/>
    <col min="49" max="50" width="11.8515625" style="123" bestFit="1" customWidth="1"/>
    <col min="51" max="51" width="12.140625" style="123" customWidth="1"/>
    <col min="52" max="52" width="14.00390625" style="123" customWidth="1"/>
    <col min="53" max="53" width="13.7109375" style="123" customWidth="1"/>
    <col min="54" max="54" width="12.421875" style="123" customWidth="1"/>
    <col min="55" max="55" width="13.00390625" style="123" customWidth="1"/>
    <col min="56" max="56" width="13.28125" style="123" customWidth="1"/>
    <col min="57" max="57" width="12.8515625" style="123" customWidth="1"/>
    <col min="58" max="58" width="11.8515625" style="123" customWidth="1"/>
    <col min="59" max="59" width="15.8515625" style="130" bestFit="1" customWidth="1"/>
    <col min="60" max="60" width="11.7109375" style="130" bestFit="1" customWidth="1"/>
    <col min="61" max="63" width="10.8515625" style="130" customWidth="1"/>
    <col min="64" max="64" width="16.140625" style="130" bestFit="1" customWidth="1"/>
    <col min="65" max="168" width="10.8515625" style="130" customWidth="1"/>
    <col min="169" max="16384" width="10.8515625" style="114" customWidth="1"/>
  </cols>
  <sheetData>
    <row r="1" spans="1:168" s="170" customFormat="1" ht="27" thickBot="1">
      <c r="A1" s="147" t="s">
        <v>25</v>
      </c>
      <c r="B1" s="139" t="s">
        <v>67</v>
      </c>
      <c r="C1" s="139" t="s">
        <v>67</v>
      </c>
      <c r="D1" s="139" t="s">
        <v>67</v>
      </c>
      <c r="E1" s="139" t="s">
        <v>67</v>
      </c>
      <c r="F1" s="139" t="s">
        <v>67</v>
      </c>
      <c r="G1" s="139" t="s">
        <v>67</v>
      </c>
      <c r="H1" s="139" t="s">
        <v>67</v>
      </c>
      <c r="I1" s="139" t="s">
        <v>67</v>
      </c>
      <c r="J1" s="139" t="s">
        <v>67</v>
      </c>
      <c r="K1" s="139" t="s">
        <v>67</v>
      </c>
      <c r="L1" s="139" t="s">
        <v>67</v>
      </c>
      <c r="M1" s="139" t="s">
        <v>67</v>
      </c>
      <c r="N1" s="139" t="s">
        <v>67</v>
      </c>
      <c r="O1" s="139" t="s">
        <v>50</v>
      </c>
      <c r="P1" s="139" t="s">
        <v>67</v>
      </c>
      <c r="Q1" s="139" t="s">
        <v>67</v>
      </c>
      <c r="R1" s="139" t="s">
        <v>67</v>
      </c>
      <c r="S1" s="139" t="s">
        <v>67</v>
      </c>
      <c r="T1" s="139" t="s">
        <v>67</v>
      </c>
      <c r="U1" s="139" t="s">
        <v>67</v>
      </c>
      <c r="V1" s="139" t="s">
        <v>67</v>
      </c>
      <c r="W1" s="139" t="s">
        <v>67</v>
      </c>
      <c r="X1" s="139" t="s">
        <v>67</v>
      </c>
      <c r="Y1" s="139" t="s">
        <v>67</v>
      </c>
      <c r="Z1" s="139" t="s">
        <v>67</v>
      </c>
      <c r="AA1" s="139" t="s">
        <v>67</v>
      </c>
      <c r="AB1" s="139" t="s">
        <v>50</v>
      </c>
      <c r="AC1" s="139" t="s">
        <v>67</v>
      </c>
      <c r="AD1" s="139" t="s">
        <v>67</v>
      </c>
      <c r="AE1" s="139" t="s">
        <v>67</v>
      </c>
      <c r="AF1" s="139" t="s">
        <v>67</v>
      </c>
      <c r="AG1" s="139" t="s">
        <v>67</v>
      </c>
      <c r="AH1" s="139" t="s">
        <v>67</v>
      </c>
      <c r="AI1" s="139" t="s">
        <v>67</v>
      </c>
      <c r="AJ1" s="139" t="s">
        <v>67</v>
      </c>
      <c r="AK1" s="139" t="s">
        <v>67</v>
      </c>
      <c r="AL1" s="139" t="s">
        <v>67</v>
      </c>
      <c r="AM1" s="139" t="s">
        <v>67</v>
      </c>
      <c r="AN1" s="139" t="s">
        <v>67</v>
      </c>
      <c r="AO1" s="139" t="s">
        <v>50</v>
      </c>
      <c r="AP1" s="139" t="s">
        <v>50</v>
      </c>
      <c r="AQ1" s="139" t="s">
        <v>50</v>
      </c>
      <c r="AR1" s="139" t="s">
        <v>50</v>
      </c>
      <c r="AS1" s="139" t="s">
        <v>50</v>
      </c>
      <c r="AT1" s="139" t="s">
        <v>50</v>
      </c>
      <c r="AU1" s="139" t="s">
        <v>50</v>
      </c>
      <c r="AV1" s="139" t="s">
        <v>50</v>
      </c>
      <c r="AW1" s="139" t="s">
        <v>50</v>
      </c>
      <c r="AX1" s="139" t="s">
        <v>50</v>
      </c>
      <c r="AY1" s="139" t="s">
        <v>50</v>
      </c>
      <c r="AZ1" s="139" t="s">
        <v>50</v>
      </c>
      <c r="BA1" s="139" t="s">
        <v>50</v>
      </c>
      <c r="BB1" s="139" t="s">
        <v>50</v>
      </c>
      <c r="BC1" s="139" t="s">
        <v>50</v>
      </c>
      <c r="BD1" s="139" t="s">
        <v>50</v>
      </c>
      <c r="BE1" s="139" t="s">
        <v>50</v>
      </c>
      <c r="BF1" s="139" t="s">
        <v>50</v>
      </c>
      <c r="BG1" s="139" t="s">
        <v>50</v>
      </c>
      <c r="BH1" s="139" t="s">
        <v>50</v>
      </c>
      <c r="BI1" s="139" t="s">
        <v>50</v>
      </c>
      <c r="BJ1" s="139" t="s">
        <v>50</v>
      </c>
      <c r="BK1" s="139" t="s">
        <v>50</v>
      </c>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row>
    <row r="2" spans="2:168" s="128" customFormat="1" ht="15.75" thickTop="1">
      <c r="B2" s="128">
        <v>0</v>
      </c>
      <c r="C2" s="128">
        <v>1</v>
      </c>
      <c r="D2" s="128">
        <f aca="true" t="shared" si="0" ref="D2:N2">C2+1</f>
        <v>2</v>
      </c>
      <c r="E2" s="128">
        <f t="shared" si="0"/>
        <v>3</v>
      </c>
      <c r="F2" s="128">
        <f t="shared" si="0"/>
        <v>4</v>
      </c>
      <c r="G2" s="128">
        <f t="shared" si="0"/>
        <v>5</v>
      </c>
      <c r="H2" s="128">
        <f t="shared" si="0"/>
        <v>6</v>
      </c>
      <c r="I2" s="128">
        <f t="shared" si="0"/>
        <v>7</v>
      </c>
      <c r="J2" s="128">
        <f t="shared" si="0"/>
        <v>8</v>
      </c>
      <c r="K2" s="128">
        <f t="shared" si="0"/>
        <v>9</v>
      </c>
      <c r="L2" s="128">
        <f t="shared" si="0"/>
        <v>10</v>
      </c>
      <c r="M2" s="128">
        <f t="shared" si="0"/>
        <v>11</v>
      </c>
      <c r="N2" s="128">
        <f t="shared" si="0"/>
        <v>12</v>
      </c>
      <c r="O2" s="112">
        <v>1</v>
      </c>
      <c r="P2" s="128">
        <v>1</v>
      </c>
      <c r="Q2" s="128">
        <f aca="true" t="shared" si="1" ref="Q2:AA2">P2+1</f>
        <v>2</v>
      </c>
      <c r="R2" s="128">
        <f t="shared" si="1"/>
        <v>3</v>
      </c>
      <c r="S2" s="128">
        <f t="shared" si="1"/>
        <v>4</v>
      </c>
      <c r="T2" s="128">
        <f t="shared" si="1"/>
        <v>5</v>
      </c>
      <c r="U2" s="128">
        <f t="shared" si="1"/>
        <v>6</v>
      </c>
      <c r="V2" s="128">
        <f t="shared" si="1"/>
        <v>7</v>
      </c>
      <c r="W2" s="128">
        <f t="shared" si="1"/>
        <v>8</v>
      </c>
      <c r="X2" s="128">
        <f t="shared" si="1"/>
        <v>9</v>
      </c>
      <c r="Y2" s="128">
        <f t="shared" si="1"/>
        <v>10</v>
      </c>
      <c r="Z2" s="128">
        <f t="shared" si="1"/>
        <v>11</v>
      </c>
      <c r="AA2" s="128">
        <f t="shared" si="1"/>
        <v>12</v>
      </c>
      <c r="AB2" s="113">
        <v>2</v>
      </c>
      <c r="AC2" s="128">
        <v>1</v>
      </c>
      <c r="AD2" s="128">
        <f aca="true" t="shared" si="2" ref="AD2:AN2">AC2+1</f>
        <v>2</v>
      </c>
      <c r="AE2" s="128">
        <f t="shared" si="2"/>
        <v>3</v>
      </c>
      <c r="AF2" s="128">
        <f t="shared" si="2"/>
        <v>4</v>
      </c>
      <c r="AG2" s="128">
        <f t="shared" si="2"/>
        <v>5</v>
      </c>
      <c r="AH2" s="128">
        <f t="shared" si="2"/>
        <v>6</v>
      </c>
      <c r="AI2" s="128">
        <f t="shared" si="2"/>
        <v>7</v>
      </c>
      <c r="AJ2" s="128">
        <f t="shared" si="2"/>
        <v>8</v>
      </c>
      <c r="AK2" s="128">
        <f t="shared" si="2"/>
        <v>9</v>
      </c>
      <c r="AL2" s="128">
        <f t="shared" si="2"/>
        <v>10</v>
      </c>
      <c r="AM2" s="128">
        <f t="shared" si="2"/>
        <v>11</v>
      </c>
      <c r="AN2" s="128">
        <f t="shared" si="2"/>
        <v>12</v>
      </c>
      <c r="AO2" s="113">
        <v>3</v>
      </c>
      <c r="AP2" s="113">
        <f>AO2+1</f>
        <v>4</v>
      </c>
      <c r="AQ2" s="113">
        <f aca="true" t="shared" si="3" ref="AQ2:BF2">AP2+1</f>
        <v>5</v>
      </c>
      <c r="AR2" s="113">
        <f t="shared" si="3"/>
        <v>6</v>
      </c>
      <c r="AS2" s="113">
        <f t="shared" si="3"/>
        <v>7</v>
      </c>
      <c r="AT2" s="113">
        <f t="shared" si="3"/>
        <v>8</v>
      </c>
      <c r="AU2" s="113">
        <f t="shared" si="3"/>
        <v>9</v>
      </c>
      <c r="AV2" s="113">
        <f t="shared" si="3"/>
        <v>10</v>
      </c>
      <c r="AW2" s="113">
        <f t="shared" si="3"/>
        <v>11</v>
      </c>
      <c r="AX2" s="113">
        <f t="shared" si="3"/>
        <v>12</v>
      </c>
      <c r="AY2" s="113">
        <f t="shared" si="3"/>
        <v>13</v>
      </c>
      <c r="AZ2" s="113">
        <f t="shared" si="3"/>
        <v>14</v>
      </c>
      <c r="BA2" s="113">
        <f t="shared" si="3"/>
        <v>15</v>
      </c>
      <c r="BB2" s="113">
        <f t="shared" si="3"/>
        <v>16</v>
      </c>
      <c r="BC2" s="113">
        <f t="shared" si="3"/>
        <v>17</v>
      </c>
      <c r="BD2" s="113">
        <f t="shared" si="3"/>
        <v>18</v>
      </c>
      <c r="BE2" s="113">
        <f t="shared" si="3"/>
        <v>19</v>
      </c>
      <c r="BF2" s="113">
        <f t="shared" si="3"/>
        <v>20</v>
      </c>
      <c r="BG2" s="113">
        <f>BF2+1</f>
        <v>21</v>
      </c>
      <c r="BH2" s="113">
        <f>BG2+1</f>
        <v>22</v>
      </c>
      <c r="BI2" s="113">
        <f>BH2+1</f>
        <v>23</v>
      </c>
      <c r="BJ2" s="113">
        <f>BI2+1</f>
        <v>24</v>
      </c>
      <c r="BK2" s="113">
        <f>BJ2+1</f>
        <v>25</v>
      </c>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row>
    <row r="3" spans="15:168" s="130" customFormat="1" ht="15">
      <c r="O3" s="115"/>
      <c r="AB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row>
    <row r="4" spans="15:168" s="130" customFormat="1" ht="15">
      <c r="O4" s="115"/>
      <c r="AB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row>
    <row r="5" spans="1:168" s="141" customFormat="1" ht="15.75">
      <c r="A5" s="140" t="s">
        <v>20</v>
      </c>
      <c r="O5" s="142"/>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row>
    <row r="6" spans="1:168" s="132" customFormat="1" ht="15.75">
      <c r="A6" s="148" t="s">
        <v>156</v>
      </c>
      <c r="B6" s="255">
        <f>-'Assumptions '!D38</f>
        <v>-455000</v>
      </c>
      <c r="C6" s="255"/>
      <c r="D6" s="255"/>
      <c r="E6" s="255"/>
      <c r="F6" s="255"/>
      <c r="G6" s="255"/>
      <c r="H6" s="255"/>
      <c r="I6" s="255"/>
      <c r="J6" s="255"/>
      <c r="K6" s="255"/>
      <c r="L6" s="255"/>
      <c r="M6" s="255"/>
      <c r="N6" s="255"/>
      <c r="O6" s="256"/>
      <c r="P6" s="255"/>
      <c r="Q6" s="255"/>
      <c r="R6" s="255"/>
      <c r="S6" s="255"/>
      <c r="T6" s="255"/>
      <c r="U6" s="255"/>
      <c r="V6" s="255"/>
      <c r="W6" s="255"/>
      <c r="X6" s="255"/>
      <c r="Y6" s="255"/>
      <c r="Z6" s="255"/>
      <c r="AA6" s="255"/>
      <c r="AB6" s="257"/>
      <c r="AC6" s="255"/>
      <c r="AD6" s="255"/>
      <c r="AE6" s="255"/>
      <c r="AF6" s="255"/>
      <c r="AG6" s="255"/>
      <c r="AH6" s="255"/>
      <c r="AI6" s="255"/>
      <c r="AJ6" s="255"/>
      <c r="AK6" s="255"/>
      <c r="AL6" s="255"/>
      <c r="AM6" s="255"/>
      <c r="AN6" s="255"/>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row>
    <row r="7" spans="1:168" s="144" customFormat="1" ht="15.75">
      <c r="A7" s="143" t="s">
        <v>21</v>
      </c>
      <c r="B7" s="259"/>
      <c r="C7" s="259"/>
      <c r="D7" s="259"/>
      <c r="E7" s="259"/>
      <c r="F7" s="259"/>
      <c r="G7" s="259"/>
      <c r="H7" s="259"/>
      <c r="I7" s="259"/>
      <c r="J7" s="259"/>
      <c r="K7" s="259"/>
      <c r="L7" s="259"/>
      <c r="M7" s="259"/>
      <c r="N7" s="259"/>
      <c r="O7" s="260"/>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row>
    <row r="8" spans="1:168" s="132" customFormat="1" ht="15.75">
      <c r="A8" s="119" t="str">
        <f>'Assumptions '!B24</f>
        <v>PPA</v>
      </c>
      <c r="B8" s="255"/>
      <c r="C8" s="255">
        <f>$O$8/12</f>
        <v>3966.25</v>
      </c>
      <c r="D8" s="255">
        <f aca="true" t="shared" si="4" ref="D8:N8">$O$8/12</f>
        <v>3966.25</v>
      </c>
      <c r="E8" s="255">
        <f t="shared" si="4"/>
        <v>3966.25</v>
      </c>
      <c r="F8" s="255">
        <f t="shared" si="4"/>
        <v>3966.25</v>
      </c>
      <c r="G8" s="255">
        <f t="shared" si="4"/>
        <v>3966.25</v>
      </c>
      <c r="H8" s="255">
        <f t="shared" si="4"/>
        <v>3966.25</v>
      </c>
      <c r="I8" s="255">
        <f t="shared" si="4"/>
        <v>3966.25</v>
      </c>
      <c r="J8" s="255">
        <f t="shared" si="4"/>
        <v>3966.25</v>
      </c>
      <c r="K8" s="255">
        <f t="shared" si="4"/>
        <v>3966.25</v>
      </c>
      <c r="L8" s="255">
        <f t="shared" si="4"/>
        <v>3966.25</v>
      </c>
      <c r="M8" s="255">
        <f t="shared" si="4"/>
        <v>3966.25</v>
      </c>
      <c r="N8" s="255">
        <f t="shared" si="4"/>
        <v>3966.25</v>
      </c>
      <c r="O8" s="256">
        <f>IF(AND(O2&gt;='Assumptions '!$E$24,'Pro Forma'!O2&lt;='Assumptions '!$F$24),('Assumptions '!$C$14*'Assumptions '!$C$24)*(1+'Assumptions '!$D$24)^('Pro Forma'!O$2-'Pro Forma'!$O$2),0)</f>
        <v>47595</v>
      </c>
      <c r="P8" s="255">
        <f>$AB$8/12</f>
        <v>4045.5750000000003</v>
      </c>
      <c r="Q8" s="255">
        <f aca="true" t="shared" si="5" ref="Q8:AA8">$AB$8/12</f>
        <v>4045.5750000000003</v>
      </c>
      <c r="R8" s="255">
        <f t="shared" si="5"/>
        <v>4045.5750000000003</v>
      </c>
      <c r="S8" s="255">
        <f t="shared" si="5"/>
        <v>4045.5750000000003</v>
      </c>
      <c r="T8" s="255">
        <f t="shared" si="5"/>
        <v>4045.5750000000003</v>
      </c>
      <c r="U8" s="255">
        <f t="shared" si="5"/>
        <v>4045.5750000000003</v>
      </c>
      <c r="V8" s="255">
        <f t="shared" si="5"/>
        <v>4045.5750000000003</v>
      </c>
      <c r="W8" s="255">
        <f t="shared" si="5"/>
        <v>4045.5750000000003</v>
      </c>
      <c r="X8" s="255">
        <f t="shared" si="5"/>
        <v>4045.5750000000003</v>
      </c>
      <c r="Y8" s="255">
        <f t="shared" si="5"/>
        <v>4045.5750000000003</v>
      </c>
      <c r="Z8" s="255">
        <f t="shared" si="5"/>
        <v>4045.5750000000003</v>
      </c>
      <c r="AA8" s="255">
        <f t="shared" si="5"/>
        <v>4045.5750000000003</v>
      </c>
      <c r="AB8" s="256">
        <f>IF(AND(AB2&gt;='Assumptions '!$E$24,'Pro Forma'!AB2&lt;='Assumptions '!$F$24),('Assumptions '!$C$14*'Assumptions '!$C$24)*(1+'Assumptions '!$D$24)^('Pro Forma'!AB$2-'Pro Forma'!$O$2),0)</f>
        <v>48546.9</v>
      </c>
      <c r="AC8" s="255">
        <f>$AO$8/12</f>
        <v>4126.4865</v>
      </c>
      <c r="AD8" s="255">
        <f aca="true" t="shared" si="6" ref="AD8:AN8">$AO$8/12</f>
        <v>4126.4865</v>
      </c>
      <c r="AE8" s="255">
        <f t="shared" si="6"/>
        <v>4126.4865</v>
      </c>
      <c r="AF8" s="255">
        <f t="shared" si="6"/>
        <v>4126.4865</v>
      </c>
      <c r="AG8" s="255">
        <f t="shared" si="6"/>
        <v>4126.4865</v>
      </c>
      <c r="AH8" s="255">
        <f t="shared" si="6"/>
        <v>4126.4865</v>
      </c>
      <c r="AI8" s="255">
        <f t="shared" si="6"/>
        <v>4126.4865</v>
      </c>
      <c r="AJ8" s="255">
        <f t="shared" si="6"/>
        <v>4126.4865</v>
      </c>
      <c r="AK8" s="255">
        <f t="shared" si="6"/>
        <v>4126.4865</v>
      </c>
      <c r="AL8" s="255">
        <f t="shared" si="6"/>
        <v>4126.4865</v>
      </c>
      <c r="AM8" s="255">
        <f t="shared" si="6"/>
        <v>4126.4865</v>
      </c>
      <c r="AN8" s="255">
        <f t="shared" si="6"/>
        <v>4126.4865</v>
      </c>
      <c r="AO8" s="256">
        <f>IF(AND(AO2&gt;='Assumptions '!$E$24,'Pro Forma'!AO2&lt;='Assumptions '!$F$24),('Assumptions '!$C$14*'Assumptions '!$C$24)*(1+'Assumptions '!$D$24)^('Pro Forma'!AO$2-'Pro Forma'!$O$2),0)</f>
        <v>49517.837999999996</v>
      </c>
      <c r="AP8" s="256">
        <f>IF(AND(AP2&gt;='Assumptions '!$E$24,'Pro Forma'!AP2&lt;='Assumptions '!$F$24),('Assumptions '!$C$14*'Assumptions '!$C$24)*(1+'Assumptions '!$D$24)^('Pro Forma'!AP$2-'Pro Forma'!$O$2),0)</f>
        <v>50508.19476</v>
      </c>
      <c r="AQ8" s="256">
        <f>IF(AND(AQ2&gt;='Assumptions '!$E$24,'Pro Forma'!AQ2&lt;='Assumptions '!$F$24),('Assumptions '!$C$14*'Assumptions '!$C$24)*(1+'Assumptions '!$D$24)^('Pro Forma'!AQ$2-'Pro Forma'!$O$2),0)</f>
        <v>51518.3586552</v>
      </c>
      <c r="AR8" s="256">
        <f>IF(AND(AR2&gt;='Assumptions '!$E$24,'Pro Forma'!AR2&lt;='Assumptions '!$F$24),('Assumptions '!$C$14*'Assumptions '!$C$24)*(1+'Assumptions '!$D$24)^('Pro Forma'!AR$2-'Pro Forma'!$O$2),0)</f>
        <v>52548.725828304</v>
      </c>
      <c r="AS8" s="256">
        <f>IF(AND(AS2&gt;='Assumptions '!$E$24,'Pro Forma'!AS2&lt;='Assumptions '!$F$24),('Assumptions '!$C$14*'Assumptions '!$C$24)*(1+'Assumptions '!$D$24)^('Pro Forma'!AS$2-'Pro Forma'!$O$2),0)</f>
        <v>53599.700344870085</v>
      </c>
      <c r="AT8" s="256">
        <f>IF(AND(AT2&gt;='Assumptions '!$E$24,'Pro Forma'!AT2&lt;='Assumptions '!$F$24),('Assumptions '!$C$14*'Assumptions '!$C$24)*(1+'Assumptions '!$D$24)^('Pro Forma'!AT$2-'Pro Forma'!$O$2),0)</f>
        <v>54671.69435176747</v>
      </c>
      <c r="AU8" s="256">
        <f>IF(AND(AU2&gt;='Assumptions '!$E$24,'Pro Forma'!AU2&lt;='Assumptions '!$F$24),('Assumptions '!$C$14*'Assumptions '!$C$24)*(1+'Assumptions '!$D$24)^('Pro Forma'!AU$2-'Pro Forma'!$O$2),0)</f>
        <v>55765.12823880283</v>
      </c>
      <c r="AV8" s="256">
        <f>IF(AND(AV2&gt;='Assumptions '!$E$24,'Pro Forma'!AV2&lt;='Assumptions '!$F$24),('Assumptions '!$C$14*'Assumptions '!$C$24)*(1+'Assumptions '!$D$24)^('Pro Forma'!AV$2-'Pro Forma'!$O$2),0)</f>
        <v>56880.430803578885</v>
      </c>
      <c r="AW8" s="256">
        <f>IF(AND(AW2&gt;='Assumptions '!$E$24,'Pro Forma'!AW2&lt;='Assumptions '!$F$24),('Assumptions '!$C$14*'Assumptions '!$C$24)*(1+'Assumptions '!$D$24)^('Pro Forma'!AW$2-'Pro Forma'!$O$2),0)</f>
        <v>58018.039419650464</v>
      </c>
      <c r="AX8" s="256">
        <f>IF(AND(AX2&gt;='Assumptions '!$E$24,'Pro Forma'!AX2&lt;='Assumptions '!$F$24),('Assumptions '!$C$14*'Assumptions '!$C$24)*(1+'Assumptions '!$D$24)^('Pro Forma'!AX$2-'Pro Forma'!$O$2),0)</f>
        <v>59178.400208043466</v>
      </c>
      <c r="AY8" s="256">
        <f>IF(AND(AY2&gt;='Assumptions '!$E$24,'Pro Forma'!AY2&lt;='Assumptions '!$F$24),('Assumptions '!$C$14*'Assumptions '!$C$24)*(1+'Assumptions '!$D$24)^('Pro Forma'!AY$2-'Pro Forma'!$O$2),0)</f>
        <v>60361.968212204345</v>
      </c>
      <c r="AZ8" s="256">
        <f>IF(AND(AZ2&gt;='Assumptions '!$E$24,'Pro Forma'!AZ2&lt;='Assumptions '!$F$24),('Assumptions '!$C$14*'Assumptions '!$C$24)*(1+'Assumptions '!$D$24)^('Pro Forma'!AZ$2-'Pro Forma'!$O$2),0)</f>
        <v>61569.207576448425</v>
      </c>
      <c r="BA8" s="256">
        <f>IF(AND(BA2&gt;='Assumptions '!$E$24,'Pro Forma'!BA2&lt;='Assumptions '!$F$24),('Assumptions '!$C$14*'Assumptions '!$C$24)*(1+'Assumptions '!$D$24)^('Pro Forma'!BA$2-'Pro Forma'!$O$2),0)</f>
        <v>62800.5917279774</v>
      </c>
      <c r="BB8" s="256">
        <f>IF(AND(BB2&gt;='Assumptions '!$E$24,'Pro Forma'!BB2&lt;='Assumptions '!$F$24),('Assumptions '!$C$14*'Assumptions '!$C$24)*(1+'Assumptions '!$D$24)^('Pro Forma'!BB$2-'Pro Forma'!$O$2),0)</f>
        <v>64056.60356253693</v>
      </c>
      <c r="BC8" s="256">
        <f>IF(AND(BC2&gt;='Assumptions '!$E$24,'Pro Forma'!BC2&lt;='Assumptions '!$F$24),('Assumptions '!$C$14*'Assumptions '!$C$24)*(1+'Assumptions '!$D$24)^('Pro Forma'!BC$2-'Pro Forma'!$O$2),0)</f>
        <v>65337.73563378768</v>
      </c>
      <c r="BD8" s="256">
        <f>IF(AND(BD2&gt;='Assumptions '!$E$24,'Pro Forma'!BD2&lt;='Assumptions '!$F$24),('Assumptions '!$C$14*'Assumptions '!$C$24)*(1+'Assumptions '!$D$24)^('Pro Forma'!BD$2-'Pro Forma'!$O$2),0)</f>
        <v>66644.49034646344</v>
      </c>
      <c r="BE8" s="256">
        <f>IF(AND(BE2&gt;='Assumptions '!$E$24,'Pro Forma'!BE2&lt;='Assumptions '!$F$24),('Assumptions '!$C$14*'Assumptions '!$C$24)*(1+'Assumptions '!$D$24)^('Pro Forma'!BE$2-'Pro Forma'!$O$2),0)</f>
        <v>67977.3801533927</v>
      </c>
      <c r="BF8" s="256">
        <f>IF(AND(BF2&gt;='Assumptions '!$E$24,'Pro Forma'!BF2&lt;='Assumptions '!$F$24),('Assumptions '!$C$14*'Assumptions '!$C$24)*(1+'Assumptions '!$D$24)^('Pro Forma'!BF$2-'Pro Forma'!$O$2),0)</f>
        <v>69336.92775646056</v>
      </c>
      <c r="BG8" s="256">
        <f>IF(AND(BG2&gt;='Assumptions '!$E$24,'Pro Forma'!BG2&lt;='Assumptions '!$F$24),('Assumptions '!$C$14*'Assumptions '!$C$24)*(1+'Assumptions '!$D$24)^('Pro Forma'!BG$2-'Pro Forma'!$O$2),0)</f>
        <v>70723.66631158977</v>
      </c>
      <c r="BH8" s="256">
        <f>IF(AND(BH2&gt;='Assumptions '!$E$24,'Pro Forma'!BH2&lt;='Assumptions '!$F$24),('Assumptions '!$C$14*'Assumptions '!$C$24)*(1+'Assumptions '!$D$24)^('Pro Forma'!BH$2-'Pro Forma'!$O$2),0)</f>
        <v>72138.13963782156</v>
      </c>
      <c r="BI8" s="256">
        <f>IF(AND(BI2&gt;='Assumptions '!$E$24,'Pro Forma'!BI2&lt;='Assumptions '!$F$24),('Assumptions '!$C$14*'Assumptions '!$C$24)*(1+'Assumptions '!$D$24)^('Pro Forma'!BI$2-'Pro Forma'!$O$2),0)</f>
        <v>73580.90243057799</v>
      </c>
      <c r="BJ8" s="256">
        <f>IF(AND(BJ2&gt;='Assumptions '!$E$24,'Pro Forma'!BJ2&lt;='Assumptions '!$F$24),('Assumptions '!$C$14*'Assumptions '!$C$24)*(1+'Assumptions '!$D$24)^('Pro Forma'!BJ$2-'Pro Forma'!$O$2),0)</f>
        <v>75052.52047918954</v>
      </c>
      <c r="BK8" s="256">
        <f>IF(AND(BK2&gt;='Assumptions '!$E$24,'Pro Forma'!BK2&lt;='Assumptions '!$F$24),('Assumptions '!$C$14*'Assumptions '!$C$24)*(1+'Assumptions '!$D$24)^('Pro Forma'!BK$2-'Pro Forma'!$O$2),0)</f>
        <v>76553.57088877333</v>
      </c>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row>
    <row r="9" spans="1:168" s="132" customFormat="1" ht="15.75">
      <c r="A9" s="119" t="str">
        <f>'Assumptions '!B25</f>
        <v>Other Income 1</v>
      </c>
      <c r="B9" s="255"/>
      <c r="C9" s="255">
        <f>$O$9/12</f>
        <v>0</v>
      </c>
      <c r="D9" s="255">
        <f aca="true" t="shared" si="7" ref="D9:N9">$O$9/12</f>
        <v>0</v>
      </c>
      <c r="E9" s="255">
        <f t="shared" si="7"/>
        <v>0</v>
      </c>
      <c r="F9" s="255">
        <f t="shared" si="7"/>
        <v>0</v>
      </c>
      <c r="G9" s="255">
        <f t="shared" si="7"/>
        <v>0</v>
      </c>
      <c r="H9" s="255">
        <f t="shared" si="7"/>
        <v>0</v>
      </c>
      <c r="I9" s="255">
        <f t="shared" si="7"/>
        <v>0</v>
      </c>
      <c r="J9" s="255">
        <f t="shared" si="7"/>
        <v>0</v>
      </c>
      <c r="K9" s="255">
        <f t="shared" si="7"/>
        <v>0</v>
      </c>
      <c r="L9" s="255">
        <f t="shared" si="7"/>
        <v>0</v>
      </c>
      <c r="M9" s="255">
        <f t="shared" si="7"/>
        <v>0</v>
      </c>
      <c r="N9" s="255">
        <f t="shared" si="7"/>
        <v>0</v>
      </c>
      <c r="O9" s="256">
        <f>IF(AND(O2&gt;='Assumptions '!$E$25,'Pro Forma'!O2&lt;='Assumptions '!$F$25),('Assumptions '!$C$14*'Assumptions '!$C$25)*(1+'Assumptions '!$D$25)^('Pro Forma'!O$2-'Pro Forma'!$O$2),0)</f>
        <v>0</v>
      </c>
      <c r="P9" s="255">
        <f>$AB$9/12</f>
        <v>0</v>
      </c>
      <c r="Q9" s="255">
        <f aca="true" t="shared" si="8" ref="Q9:AA9">$AB$9/12</f>
        <v>0</v>
      </c>
      <c r="R9" s="255">
        <f t="shared" si="8"/>
        <v>0</v>
      </c>
      <c r="S9" s="255">
        <f t="shared" si="8"/>
        <v>0</v>
      </c>
      <c r="T9" s="255">
        <f t="shared" si="8"/>
        <v>0</v>
      </c>
      <c r="U9" s="255">
        <f t="shared" si="8"/>
        <v>0</v>
      </c>
      <c r="V9" s="255">
        <f t="shared" si="8"/>
        <v>0</v>
      </c>
      <c r="W9" s="255">
        <f t="shared" si="8"/>
        <v>0</v>
      </c>
      <c r="X9" s="255">
        <f t="shared" si="8"/>
        <v>0</v>
      </c>
      <c r="Y9" s="255">
        <f t="shared" si="8"/>
        <v>0</v>
      </c>
      <c r="Z9" s="255">
        <f t="shared" si="8"/>
        <v>0</v>
      </c>
      <c r="AA9" s="255">
        <f t="shared" si="8"/>
        <v>0</v>
      </c>
      <c r="AB9" s="256">
        <f>IF(AND(AB2&gt;='Assumptions '!$E$25,'Pro Forma'!AB2&lt;='Assumptions '!$F$25),('Assumptions '!$C$14*'Assumptions '!$C$25)*(1+'Assumptions '!$D$25)^('Pro Forma'!AB$2-'Pro Forma'!$O$2),0)</f>
        <v>0</v>
      </c>
      <c r="AC9" s="255">
        <f>$AO$9/12</f>
        <v>0</v>
      </c>
      <c r="AD9" s="255">
        <f aca="true" t="shared" si="9" ref="AD9:AN9">$AO$9/12</f>
        <v>0</v>
      </c>
      <c r="AE9" s="255">
        <f t="shared" si="9"/>
        <v>0</v>
      </c>
      <c r="AF9" s="255">
        <f t="shared" si="9"/>
        <v>0</v>
      </c>
      <c r="AG9" s="255">
        <f t="shared" si="9"/>
        <v>0</v>
      </c>
      <c r="AH9" s="255">
        <f t="shared" si="9"/>
        <v>0</v>
      </c>
      <c r="AI9" s="255">
        <f t="shared" si="9"/>
        <v>0</v>
      </c>
      <c r="AJ9" s="255">
        <f t="shared" si="9"/>
        <v>0</v>
      </c>
      <c r="AK9" s="255">
        <f t="shared" si="9"/>
        <v>0</v>
      </c>
      <c r="AL9" s="255">
        <f t="shared" si="9"/>
        <v>0</v>
      </c>
      <c r="AM9" s="255">
        <f t="shared" si="9"/>
        <v>0</v>
      </c>
      <c r="AN9" s="255">
        <f t="shared" si="9"/>
        <v>0</v>
      </c>
      <c r="AO9" s="256">
        <f>IF(AND(AO2&gt;='Assumptions '!$E$25,'Pro Forma'!AO2&lt;='Assumptions '!$F$25),('Assumptions '!$C$14*'Assumptions '!$C$25)*(1+'Assumptions '!$D$25)^('Pro Forma'!AO$2-'Pro Forma'!$O$2),0)</f>
        <v>0</v>
      </c>
      <c r="AP9" s="256">
        <f>IF(AND(AP2&gt;='Assumptions '!$E$25,'Pro Forma'!AP2&lt;='Assumptions '!$F$25),('Assumptions '!$C$14*'Assumptions '!$C$25)*(1+'Assumptions '!$D$25)^('Pro Forma'!AP$2-'Pro Forma'!$O$2),0)</f>
        <v>0</v>
      </c>
      <c r="AQ9" s="256">
        <f>IF(AND(AQ2&gt;='Assumptions '!$E$25,'Pro Forma'!AQ2&lt;='Assumptions '!$F$25),('Assumptions '!$C$14*'Assumptions '!$C$25)*(1+'Assumptions '!$D$25)^('Pro Forma'!AQ$2-'Pro Forma'!$O$2),0)</f>
        <v>0</v>
      </c>
      <c r="AR9" s="256">
        <f>IF(AND(AR2&gt;='Assumptions '!$E$25,'Pro Forma'!AR2&lt;='Assumptions '!$F$25),('Assumptions '!$C$14*'Assumptions '!$C$25)*(1+'Assumptions '!$D$25)^('Pro Forma'!AR$2-'Pro Forma'!$O$2),0)</f>
        <v>0</v>
      </c>
      <c r="AS9" s="256">
        <f>IF(AND(AS2&gt;='Assumptions '!$E$25,'Pro Forma'!AS2&lt;='Assumptions '!$F$25),('Assumptions '!$C$14*'Assumptions '!$C$25)*(1+'Assumptions '!$D$25)^('Pro Forma'!AS$2-'Pro Forma'!$O$2),0)</f>
        <v>0</v>
      </c>
      <c r="AT9" s="256">
        <f>IF(AND(AT2&gt;='Assumptions '!$E$25,'Pro Forma'!AT2&lt;='Assumptions '!$F$25),('Assumptions '!$C$14*'Assumptions '!$C$25)*(1+'Assumptions '!$D$25)^('Pro Forma'!AT$2-'Pro Forma'!$O$2),0)</f>
        <v>0</v>
      </c>
      <c r="AU9" s="256">
        <f>IF(AND(AU2&gt;='Assumptions '!$E$25,'Pro Forma'!AU2&lt;='Assumptions '!$F$25),('Assumptions '!$C$14*'Assumptions '!$C$25)*(1+'Assumptions '!$D$25)^('Pro Forma'!AU$2-'Pro Forma'!$O$2),0)</f>
        <v>0</v>
      </c>
      <c r="AV9" s="256">
        <f>IF(AND(AV2&gt;='Assumptions '!$E$25,'Pro Forma'!AV2&lt;='Assumptions '!$F$25),('Assumptions '!$C$14*'Assumptions '!$C$25)*(1+'Assumptions '!$D$25)^('Pro Forma'!AV$2-'Pro Forma'!$O$2),0)</f>
        <v>0</v>
      </c>
      <c r="AW9" s="256">
        <f>IF(AND(AW2&gt;='Assumptions '!$E$25,'Pro Forma'!AW2&lt;='Assumptions '!$F$25),('Assumptions '!$C$14*'Assumptions '!$C$25)*(1+'Assumptions '!$D$25)^('Pro Forma'!AW$2-'Pro Forma'!$O$2),0)</f>
        <v>0</v>
      </c>
      <c r="AX9" s="256">
        <f>IF(AND(AX2&gt;='Assumptions '!$E$25,'Pro Forma'!AX2&lt;='Assumptions '!$F$25),('Assumptions '!$C$14*'Assumptions '!$C$25)*(1+'Assumptions '!$D$25)^('Pro Forma'!AX$2-'Pro Forma'!$O$2),0)</f>
        <v>0</v>
      </c>
      <c r="AY9" s="256">
        <f>IF(AND(AY2&gt;='Assumptions '!$E$25,'Pro Forma'!AY2&lt;='Assumptions '!$F$25),('Assumptions '!$C$14*'Assumptions '!$C$25)*(1+'Assumptions '!$D$25)^('Pro Forma'!AY$2-'Pro Forma'!$O$2),0)</f>
        <v>0</v>
      </c>
      <c r="AZ9" s="256">
        <f>IF(AND(AZ2&gt;='Assumptions '!$E$25,'Pro Forma'!AZ2&lt;='Assumptions '!$F$25),('Assumptions '!$C$14*'Assumptions '!$C$25)*(1+'Assumptions '!$D$25)^('Pro Forma'!AZ$2-'Pro Forma'!$O$2),0)</f>
        <v>0</v>
      </c>
      <c r="BA9" s="256">
        <f>IF(AND(BA2&gt;='Assumptions '!$E$25,'Pro Forma'!BA2&lt;='Assumptions '!$F$25),('Assumptions '!$C$14*'Assumptions '!$C$25)*(1+'Assumptions '!$D$25)^('Pro Forma'!BA$2-'Pro Forma'!$O$2),0)</f>
        <v>0</v>
      </c>
      <c r="BB9" s="256">
        <f>IF(AND(BB2&gt;='Assumptions '!$E$25,'Pro Forma'!BB2&lt;='Assumptions '!$F$25),('Assumptions '!$C$14*'Assumptions '!$C$25)*(1+'Assumptions '!$D$25)^('Pro Forma'!BB$2-'Pro Forma'!$O$2),0)</f>
        <v>0</v>
      </c>
      <c r="BC9" s="256">
        <f>IF(AND(BC2&gt;='Assumptions '!$E$25,'Pro Forma'!BC2&lt;='Assumptions '!$F$25),('Assumptions '!$C$14*'Assumptions '!$C$25)*(1+'Assumptions '!$D$25)^('Pro Forma'!BC$2-'Pro Forma'!$O$2),0)</f>
        <v>0</v>
      </c>
      <c r="BD9" s="256">
        <f>IF(AND(BD2&gt;='Assumptions '!$E$25,'Pro Forma'!BD2&lt;='Assumptions '!$F$25),('Assumptions '!$C$14*'Assumptions '!$C$25)*(1+'Assumptions '!$D$25)^('Pro Forma'!BD$2-'Pro Forma'!$O$2),0)</f>
        <v>0</v>
      </c>
      <c r="BE9" s="256">
        <f>IF(AND(BE2&gt;='Assumptions '!$E$25,'Pro Forma'!BE2&lt;='Assumptions '!$F$25),('Assumptions '!$C$14*'Assumptions '!$C$25)*(1+'Assumptions '!$D$25)^('Pro Forma'!BE$2-'Pro Forma'!$O$2),0)</f>
        <v>0</v>
      </c>
      <c r="BF9" s="256">
        <f>IF(AND(BF2&gt;='Assumptions '!$E$25,'Pro Forma'!BF2&lt;='Assumptions '!$F$25),('Assumptions '!$C$14*'Assumptions '!$C$25)*(1+'Assumptions '!$D$25)^('Pro Forma'!BF$2-'Pro Forma'!$O$2),0)</f>
        <v>0</v>
      </c>
      <c r="BG9" s="256">
        <f>IF(AND(BG2&gt;='Assumptions '!$E$25,'Pro Forma'!BG2&lt;='Assumptions '!$F$25),('Assumptions '!$C$14*'Assumptions '!$C$25)*(1+'Assumptions '!$D$25)^('Pro Forma'!BG$2-'Pro Forma'!$O$2),0)</f>
        <v>0</v>
      </c>
      <c r="BH9" s="256">
        <f>IF(AND(BH2&gt;='Assumptions '!$E$25,'Pro Forma'!BH2&lt;='Assumptions '!$F$25),('Assumptions '!$C$14*'Assumptions '!$C$25)*(1+'Assumptions '!$D$25)^('Pro Forma'!BH$2-'Pro Forma'!$O$2),0)</f>
        <v>0</v>
      </c>
      <c r="BI9" s="256">
        <f>IF(AND(BI2&gt;='Assumptions '!$E$25,'Pro Forma'!BI2&lt;='Assumptions '!$F$25),('Assumptions '!$C$14*'Assumptions '!$C$25)*(1+'Assumptions '!$D$25)^('Pro Forma'!BI$2-'Pro Forma'!$O$2),0)</f>
        <v>0</v>
      </c>
      <c r="BJ9" s="256">
        <f>IF(AND(BJ2&gt;='Assumptions '!$E$25,'Pro Forma'!BJ2&lt;='Assumptions '!$F$25),('Assumptions '!$C$14*'Assumptions '!$C$25)*(1+'Assumptions '!$D$25)^('Pro Forma'!BJ$2-'Pro Forma'!$O$2),0)</f>
        <v>0</v>
      </c>
      <c r="BK9" s="256">
        <f>IF(AND(BK2&gt;='Assumptions '!$E$25,'Pro Forma'!BK2&lt;='Assumptions '!$F$25),('Assumptions '!$C$14*'Assumptions '!$C$25)*(1+'Assumptions '!$D$25)^('Pro Forma'!BK$2-'Pro Forma'!$O$2),0)</f>
        <v>0</v>
      </c>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row>
    <row r="10" spans="1:168" s="132" customFormat="1" ht="15.75">
      <c r="A10" s="119" t="str">
        <f>'Assumptions '!B26</f>
        <v>Other Income 2</v>
      </c>
      <c r="B10" s="255"/>
      <c r="C10" s="255">
        <f>$O$10/12</f>
        <v>0</v>
      </c>
      <c r="D10" s="255">
        <f aca="true" t="shared" si="10" ref="D10:N10">$O$10/12</f>
        <v>0</v>
      </c>
      <c r="E10" s="255">
        <f t="shared" si="10"/>
        <v>0</v>
      </c>
      <c r="F10" s="255">
        <f t="shared" si="10"/>
        <v>0</v>
      </c>
      <c r="G10" s="255">
        <f t="shared" si="10"/>
        <v>0</v>
      </c>
      <c r="H10" s="255">
        <f t="shared" si="10"/>
        <v>0</v>
      </c>
      <c r="I10" s="255">
        <f t="shared" si="10"/>
        <v>0</v>
      </c>
      <c r="J10" s="255">
        <f t="shared" si="10"/>
        <v>0</v>
      </c>
      <c r="K10" s="255">
        <f t="shared" si="10"/>
        <v>0</v>
      </c>
      <c r="L10" s="255">
        <f t="shared" si="10"/>
        <v>0</v>
      </c>
      <c r="M10" s="255">
        <f t="shared" si="10"/>
        <v>0</v>
      </c>
      <c r="N10" s="255">
        <f t="shared" si="10"/>
        <v>0</v>
      </c>
      <c r="O10" s="256">
        <f>IF(AND(O2&gt;='Assumptions '!$E$26,'Pro Forma'!O2&lt;='Assumptions '!$F$26),('Assumptions '!$C$14*'Assumptions '!$C$26)*(1+'Assumptions '!$D$26)^('Pro Forma'!O$2-'Pro Forma'!$O$2),0)</f>
        <v>0</v>
      </c>
      <c r="P10" s="255">
        <f>$AB$10/12</f>
        <v>0</v>
      </c>
      <c r="Q10" s="255">
        <f aca="true" t="shared" si="11" ref="Q10:AA10">$AB$10/12</f>
        <v>0</v>
      </c>
      <c r="R10" s="255">
        <f t="shared" si="11"/>
        <v>0</v>
      </c>
      <c r="S10" s="255">
        <f t="shared" si="11"/>
        <v>0</v>
      </c>
      <c r="T10" s="255">
        <f t="shared" si="11"/>
        <v>0</v>
      </c>
      <c r="U10" s="255">
        <f t="shared" si="11"/>
        <v>0</v>
      </c>
      <c r="V10" s="255">
        <f t="shared" si="11"/>
        <v>0</v>
      </c>
      <c r="W10" s="255">
        <f t="shared" si="11"/>
        <v>0</v>
      </c>
      <c r="X10" s="255">
        <f t="shared" si="11"/>
        <v>0</v>
      </c>
      <c r="Y10" s="255">
        <f t="shared" si="11"/>
        <v>0</v>
      </c>
      <c r="Z10" s="255">
        <f t="shared" si="11"/>
        <v>0</v>
      </c>
      <c r="AA10" s="255">
        <f t="shared" si="11"/>
        <v>0</v>
      </c>
      <c r="AB10" s="256">
        <f>IF(AND(AB2&gt;='Assumptions '!$E$26,'Pro Forma'!AB2&lt;='Assumptions '!$F$26),('Assumptions '!$C$14*'Assumptions '!$C$26)*(1+'Assumptions '!$D$26)^('Pro Forma'!AB$2-'Pro Forma'!$O$2),0)</f>
        <v>0</v>
      </c>
      <c r="AC10" s="255">
        <f>$AO$10</f>
        <v>0</v>
      </c>
      <c r="AD10" s="255">
        <f aca="true" t="shared" si="12" ref="AD10:AN10">$AO$10</f>
        <v>0</v>
      </c>
      <c r="AE10" s="255">
        <f t="shared" si="12"/>
        <v>0</v>
      </c>
      <c r="AF10" s="255">
        <f t="shared" si="12"/>
        <v>0</v>
      </c>
      <c r="AG10" s="255">
        <f t="shared" si="12"/>
        <v>0</v>
      </c>
      <c r="AH10" s="255">
        <f t="shared" si="12"/>
        <v>0</v>
      </c>
      <c r="AI10" s="255">
        <f t="shared" si="12"/>
        <v>0</v>
      </c>
      <c r="AJ10" s="255">
        <f t="shared" si="12"/>
        <v>0</v>
      </c>
      <c r="AK10" s="255">
        <f t="shared" si="12"/>
        <v>0</v>
      </c>
      <c r="AL10" s="255">
        <f t="shared" si="12"/>
        <v>0</v>
      </c>
      <c r="AM10" s="255">
        <f t="shared" si="12"/>
        <v>0</v>
      </c>
      <c r="AN10" s="255">
        <f t="shared" si="12"/>
        <v>0</v>
      </c>
      <c r="AO10" s="256">
        <f>IF(AND(AO2&gt;='Assumptions '!$E$26,'Pro Forma'!AO2&lt;='Assumptions '!$F$26),('Assumptions '!$C$14*'Assumptions '!$C$26)*(1+'Assumptions '!$D$26)^('Pro Forma'!AO$2-'Pro Forma'!$O$2),0)</f>
        <v>0</v>
      </c>
      <c r="AP10" s="256">
        <f>IF(AND(AP2&gt;='Assumptions '!$E$26,'Pro Forma'!AP2&lt;='Assumptions '!$F$26),('Assumptions '!$C$14*'Assumptions '!$C$26)*(1+'Assumptions '!$D$26)^('Pro Forma'!AP$2-'Pro Forma'!$O$2),0)</f>
        <v>0</v>
      </c>
      <c r="AQ10" s="256">
        <f>IF(AND(AQ2&gt;='Assumptions '!$E$26,'Pro Forma'!AQ2&lt;='Assumptions '!$F$26),('Assumptions '!$C$14*'Assumptions '!$C$26)*(1+'Assumptions '!$D$26)^('Pro Forma'!AQ$2-'Pro Forma'!$O$2),0)</f>
        <v>0</v>
      </c>
      <c r="AR10" s="256">
        <f>IF(AND(AR2&gt;='Assumptions '!$E$26,'Pro Forma'!AR2&lt;='Assumptions '!$F$26),('Assumptions '!$C$14*'Assumptions '!$C$26)*(1+'Assumptions '!$D$26)^('Pro Forma'!AR$2-'Pro Forma'!$O$2),0)</f>
        <v>0</v>
      </c>
      <c r="AS10" s="256">
        <f>IF(AND(AS2&gt;='Assumptions '!$E$26,'Pro Forma'!AS2&lt;='Assumptions '!$F$26),('Assumptions '!$C$14*'Assumptions '!$C$26)*(1+'Assumptions '!$D$26)^('Pro Forma'!AS$2-'Pro Forma'!$O$2),0)</f>
        <v>0</v>
      </c>
      <c r="AT10" s="256">
        <f>IF(AND(AT2&gt;='Assumptions '!$E$26,'Pro Forma'!AT2&lt;='Assumptions '!$F$26),('Assumptions '!$C$14*'Assumptions '!$C$26)*(1+'Assumptions '!$D$26)^('Pro Forma'!AT$2-'Pro Forma'!$O$2),0)</f>
        <v>0</v>
      </c>
      <c r="AU10" s="256">
        <f>IF(AND(AU2&gt;='Assumptions '!$E$26,'Pro Forma'!AU2&lt;='Assumptions '!$F$26),('Assumptions '!$C$14*'Assumptions '!$C$26)*(1+'Assumptions '!$D$26)^('Pro Forma'!AU$2-'Pro Forma'!$O$2),0)</f>
        <v>0</v>
      </c>
      <c r="AV10" s="256">
        <f>IF(AND(AV2&gt;='Assumptions '!$E$26,'Pro Forma'!AV2&lt;='Assumptions '!$F$26),('Assumptions '!$C$14*'Assumptions '!$C$26)*(1+'Assumptions '!$D$26)^('Pro Forma'!AV$2-'Pro Forma'!$O$2),0)</f>
        <v>0</v>
      </c>
      <c r="AW10" s="256">
        <f>IF(AND(AW2&gt;='Assumptions '!$E$26,'Pro Forma'!AW2&lt;='Assumptions '!$F$26),('Assumptions '!$C$14*'Assumptions '!$C$26)*(1+'Assumptions '!$D$26)^('Pro Forma'!AW$2-'Pro Forma'!$O$2),0)</f>
        <v>0</v>
      </c>
      <c r="AX10" s="256">
        <f>IF(AND(AX2&gt;='Assumptions '!$E$26,'Pro Forma'!AX2&lt;='Assumptions '!$F$26),('Assumptions '!$C$14*'Assumptions '!$C$26)*(1+'Assumptions '!$D$26)^('Pro Forma'!AX$2-'Pro Forma'!$O$2),0)</f>
        <v>0</v>
      </c>
      <c r="AY10" s="256">
        <f>IF(AND(AY2&gt;='Assumptions '!$E$26,'Pro Forma'!AY2&lt;='Assumptions '!$F$26),('Assumptions '!$C$14*'Assumptions '!$C$26)*(1+'Assumptions '!$D$26)^('Pro Forma'!AY$2-'Pro Forma'!$O$2),0)</f>
        <v>0</v>
      </c>
      <c r="AZ10" s="256">
        <f>IF(AND(AZ2&gt;='Assumptions '!$E$26,'Pro Forma'!AZ2&lt;='Assumptions '!$F$26),('Assumptions '!$C$14*'Assumptions '!$C$26)*(1+'Assumptions '!$D$26)^('Pro Forma'!AZ$2-'Pro Forma'!$O$2),0)</f>
        <v>0</v>
      </c>
      <c r="BA10" s="256">
        <f>IF(AND(BA2&gt;='Assumptions '!$E$26,'Pro Forma'!BA2&lt;='Assumptions '!$F$26),('Assumptions '!$C$14*'Assumptions '!$C$26)*(1+'Assumptions '!$D$26)^('Pro Forma'!BA$2-'Pro Forma'!$O$2),0)</f>
        <v>0</v>
      </c>
      <c r="BB10" s="256">
        <f>IF(AND(BB2&gt;='Assumptions '!$E$26,'Pro Forma'!BB2&lt;='Assumptions '!$F$26),('Assumptions '!$C$14*'Assumptions '!$C$26)*(1+'Assumptions '!$D$26)^('Pro Forma'!BB$2-'Pro Forma'!$O$2),0)</f>
        <v>0</v>
      </c>
      <c r="BC10" s="256">
        <f>IF(AND(BC2&gt;='Assumptions '!$E$26,'Pro Forma'!BC2&lt;='Assumptions '!$F$26),('Assumptions '!$C$14*'Assumptions '!$C$26)*(1+'Assumptions '!$D$26)^('Pro Forma'!BC$2-'Pro Forma'!$O$2),0)</f>
        <v>0</v>
      </c>
      <c r="BD10" s="256">
        <f>IF(AND(BD2&gt;='Assumptions '!$E$26,'Pro Forma'!BD2&lt;='Assumptions '!$F$26),('Assumptions '!$C$14*'Assumptions '!$C$26)*(1+'Assumptions '!$D$26)^('Pro Forma'!BD$2-'Pro Forma'!$O$2),0)</f>
        <v>0</v>
      </c>
      <c r="BE10" s="256">
        <f>IF(AND(BE2&gt;='Assumptions '!$E$26,'Pro Forma'!BE2&lt;='Assumptions '!$F$26),('Assumptions '!$C$14*'Assumptions '!$C$26)*(1+'Assumptions '!$D$26)^('Pro Forma'!BE$2-'Pro Forma'!$O$2),0)</f>
        <v>0</v>
      </c>
      <c r="BF10" s="256">
        <f>IF(AND(BF2&gt;='Assumptions '!$E$26,'Pro Forma'!BF2&lt;='Assumptions '!$F$26),('Assumptions '!$C$14*'Assumptions '!$C$26)*(1+'Assumptions '!$D$26)^('Pro Forma'!BF$2-'Pro Forma'!$O$2),0)</f>
        <v>0</v>
      </c>
      <c r="BG10" s="256">
        <f>IF(AND(BG2&gt;='Assumptions '!$E$26,'Pro Forma'!BG2&lt;='Assumptions '!$F$26),('Assumptions '!$C$14*'Assumptions '!$C$26)*(1+'Assumptions '!$D$26)^('Pro Forma'!BG$2-'Pro Forma'!$O$2),0)</f>
        <v>0</v>
      </c>
      <c r="BH10" s="256">
        <f>IF(AND(BH2&gt;='Assumptions '!$E$26,'Pro Forma'!BH2&lt;='Assumptions '!$F$26),('Assumptions '!$C$14*'Assumptions '!$C$26)*(1+'Assumptions '!$D$26)^('Pro Forma'!BH$2-'Pro Forma'!$O$2),0)</f>
        <v>0</v>
      </c>
      <c r="BI10" s="256">
        <f>IF(AND(BI2&gt;='Assumptions '!$E$26,'Pro Forma'!BI2&lt;='Assumptions '!$F$26),('Assumptions '!$C$14*'Assumptions '!$C$26)*(1+'Assumptions '!$D$26)^('Pro Forma'!BI$2-'Pro Forma'!$O$2),0)</f>
        <v>0</v>
      </c>
      <c r="BJ10" s="256">
        <f>IF(AND(BJ2&gt;='Assumptions '!$E$26,'Pro Forma'!BJ2&lt;='Assumptions '!$F$26),('Assumptions '!$C$14*'Assumptions '!$C$26)*(1+'Assumptions '!$D$26)^('Pro Forma'!BJ$2-'Pro Forma'!$O$2),0)</f>
        <v>0</v>
      </c>
      <c r="BK10" s="256">
        <f>IF(AND(BK2&gt;='Assumptions '!$E$26,'Pro Forma'!BK2&lt;='Assumptions '!$F$26),('Assumptions '!$C$14*'Assumptions '!$C$26)*(1+'Assumptions '!$D$26)^('Pro Forma'!BK$2-'Pro Forma'!$O$2),0)</f>
        <v>0</v>
      </c>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row>
    <row r="11" spans="1:168" s="133" customFormat="1" ht="16.5" thickBot="1">
      <c r="A11" s="242" t="s">
        <v>22</v>
      </c>
      <c r="B11" s="261"/>
      <c r="C11" s="261">
        <f>SUM(C8:C10)</f>
        <v>3966.25</v>
      </c>
      <c r="D11" s="261">
        <f aca="true" t="shared" si="13" ref="D11:BF11">SUM(D8:D10)</f>
        <v>3966.25</v>
      </c>
      <c r="E11" s="261">
        <f t="shared" si="13"/>
        <v>3966.25</v>
      </c>
      <c r="F11" s="261">
        <f t="shared" si="13"/>
        <v>3966.25</v>
      </c>
      <c r="G11" s="261">
        <f t="shared" si="13"/>
        <v>3966.25</v>
      </c>
      <c r="H11" s="261">
        <f t="shared" si="13"/>
        <v>3966.25</v>
      </c>
      <c r="I11" s="261">
        <f t="shared" si="13"/>
        <v>3966.25</v>
      </c>
      <c r="J11" s="261">
        <f t="shared" si="13"/>
        <v>3966.25</v>
      </c>
      <c r="K11" s="261">
        <f t="shared" si="13"/>
        <v>3966.25</v>
      </c>
      <c r="L11" s="261">
        <f t="shared" si="13"/>
        <v>3966.25</v>
      </c>
      <c r="M11" s="261">
        <f t="shared" si="13"/>
        <v>3966.25</v>
      </c>
      <c r="N11" s="261">
        <f t="shared" si="13"/>
        <v>3966.25</v>
      </c>
      <c r="O11" s="262">
        <f t="shared" si="13"/>
        <v>47595</v>
      </c>
      <c r="P11" s="261">
        <f t="shared" si="13"/>
        <v>4045.5750000000003</v>
      </c>
      <c r="Q11" s="261">
        <f t="shared" si="13"/>
        <v>4045.5750000000003</v>
      </c>
      <c r="R11" s="261">
        <f t="shared" si="13"/>
        <v>4045.5750000000003</v>
      </c>
      <c r="S11" s="261">
        <f t="shared" si="13"/>
        <v>4045.5750000000003</v>
      </c>
      <c r="T11" s="261">
        <f t="shared" si="13"/>
        <v>4045.5750000000003</v>
      </c>
      <c r="U11" s="261">
        <f t="shared" si="13"/>
        <v>4045.5750000000003</v>
      </c>
      <c r="V11" s="261">
        <f t="shared" si="13"/>
        <v>4045.5750000000003</v>
      </c>
      <c r="W11" s="261">
        <f t="shared" si="13"/>
        <v>4045.5750000000003</v>
      </c>
      <c r="X11" s="261">
        <f t="shared" si="13"/>
        <v>4045.5750000000003</v>
      </c>
      <c r="Y11" s="261">
        <f t="shared" si="13"/>
        <v>4045.5750000000003</v>
      </c>
      <c r="Z11" s="261">
        <f t="shared" si="13"/>
        <v>4045.5750000000003</v>
      </c>
      <c r="AA11" s="261">
        <f t="shared" si="13"/>
        <v>4045.5750000000003</v>
      </c>
      <c r="AB11" s="262">
        <f t="shared" si="13"/>
        <v>48546.9</v>
      </c>
      <c r="AC11" s="261">
        <f t="shared" si="13"/>
        <v>4126.4865</v>
      </c>
      <c r="AD11" s="261">
        <f t="shared" si="13"/>
        <v>4126.4865</v>
      </c>
      <c r="AE11" s="261">
        <f t="shared" si="13"/>
        <v>4126.4865</v>
      </c>
      <c r="AF11" s="261">
        <f t="shared" si="13"/>
        <v>4126.4865</v>
      </c>
      <c r="AG11" s="261">
        <f t="shared" si="13"/>
        <v>4126.4865</v>
      </c>
      <c r="AH11" s="261">
        <f t="shared" si="13"/>
        <v>4126.4865</v>
      </c>
      <c r="AI11" s="261">
        <f t="shared" si="13"/>
        <v>4126.4865</v>
      </c>
      <c r="AJ11" s="261">
        <f t="shared" si="13"/>
        <v>4126.4865</v>
      </c>
      <c r="AK11" s="261">
        <f t="shared" si="13"/>
        <v>4126.4865</v>
      </c>
      <c r="AL11" s="261">
        <f t="shared" si="13"/>
        <v>4126.4865</v>
      </c>
      <c r="AM11" s="261">
        <f t="shared" si="13"/>
        <v>4126.4865</v>
      </c>
      <c r="AN11" s="261">
        <f t="shared" si="13"/>
        <v>4126.4865</v>
      </c>
      <c r="AO11" s="262">
        <f t="shared" si="13"/>
        <v>49517.837999999996</v>
      </c>
      <c r="AP11" s="262">
        <f t="shared" si="13"/>
        <v>50508.19476</v>
      </c>
      <c r="AQ11" s="262">
        <f t="shared" si="13"/>
        <v>51518.3586552</v>
      </c>
      <c r="AR11" s="262">
        <f t="shared" si="13"/>
        <v>52548.725828304</v>
      </c>
      <c r="AS11" s="262">
        <f t="shared" si="13"/>
        <v>53599.700344870085</v>
      </c>
      <c r="AT11" s="262">
        <f t="shared" si="13"/>
        <v>54671.69435176747</v>
      </c>
      <c r="AU11" s="262">
        <f t="shared" si="13"/>
        <v>55765.12823880283</v>
      </c>
      <c r="AV11" s="262">
        <f t="shared" si="13"/>
        <v>56880.430803578885</v>
      </c>
      <c r="AW11" s="262">
        <f t="shared" si="13"/>
        <v>58018.039419650464</v>
      </c>
      <c r="AX11" s="262">
        <f>SUM(AX8:AX10)</f>
        <v>59178.400208043466</v>
      </c>
      <c r="AY11" s="262">
        <f t="shared" si="13"/>
        <v>60361.968212204345</v>
      </c>
      <c r="AZ11" s="262">
        <f t="shared" si="13"/>
        <v>61569.207576448425</v>
      </c>
      <c r="BA11" s="262">
        <f t="shared" si="13"/>
        <v>62800.5917279774</v>
      </c>
      <c r="BB11" s="262">
        <f t="shared" si="13"/>
        <v>64056.60356253693</v>
      </c>
      <c r="BC11" s="262">
        <f t="shared" si="13"/>
        <v>65337.73563378768</v>
      </c>
      <c r="BD11" s="262">
        <f t="shared" si="13"/>
        <v>66644.49034646344</v>
      </c>
      <c r="BE11" s="262">
        <f t="shared" si="13"/>
        <v>67977.3801533927</v>
      </c>
      <c r="BF11" s="262">
        <f t="shared" si="13"/>
        <v>69336.92775646056</v>
      </c>
      <c r="BG11" s="262">
        <f>SUM(BG8:BG10)</f>
        <v>70723.66631158977</v>
      </c>
      <c r="BH11" s="262">
        <f>SUM(BH8:BH10)</f>
        <v>72138.13963782156</v>
      </c>
      <c r="BI11" s="262">
        <f>SUM(BI8:BI10)</f>
        <v>73580.90243057799</v>
      </c>
      <c r="BJ11" s="262">
        <f>SUM(BJ8:BJ10)</f>
        <v>75052.52047918954</v>
      </c>
      <c r="BK11" s="262">
        <f>SUM(BK8:BK10)</f>
        <v>76553.57088877333</v>
      </c>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row>
    <row r="12" spans="1:168" s="132" customFormat="1" ht="16.5" thickTop="1">
      <c r="A12" s="150"/>
      <c r="B12" s="255"/>
      <c r="C12" s="255"/>
      <c r="D12" s="255"/>
      <c r="E12" s="255"/>
      <c r="F12" s="255"/>
      <c r="G12" s="255"/>
      <c r="H12" s="255"/>
      <c r="I12" s="255"/>
      <c r="J12" s="255"/>
      <c r="K12" s="255"/>
      <c r="L12" s="255"/>
      <c r="M12" s="255"/>
      <c r="N12" s="255"/>
      <c r="O12" s="256"/>
      <c r="P12" s="255"/>
      <c r="Q12" s="255"/>
      <c r="R12" s="255"/>
      <c r="S12" s="255"/>
      <c r="T12" s="255"/>
      <c r="U12" s="255"/>
      <c r="V12" s="255"/>
      <c r="W12" s="255"/>
      <c r="X12" s="255"/>
      <c r="Y12" s="255"/>
      <c r="Z12" s="255"/>
      <c r="AA12" s="255"/>
      <c r="AB12" s="257"/>
      <c r="AC12" s="255"/>
      <c r="AD12" s="255"/>
      <c r="AE12" s="255"/>
      <c r="AF12" s="255"/>
      <c r="AG12" s="255"/>
      <c r="AH12" s="255"/>
      <c r="AI12" s="255"/>
      <c r="AJ12" s="255"/>
      <c r="AK12" s="255"/>
      <c r="AL12" s="255"/>
      <c r="AM12" s="255"/>
      <c r="AN12" s="255"/>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row>
    <row r="13" spans="1:168" s="144" customFormat="1" ht="15.75">
      <c r="A13" s="143" t="s">
        <v>23</v>
      </c>
      <c r="B13" s="259"/>
      <c r="C13" s="259"/>
      <c r="D13" s="259"/>
      <c r="E13" s="259"/>
      <c r="F13" s="259"/>
      <c r="G13" s="259"/>
      <c r="H13" s="259"/>
      <c r="I13" s="259"/>
      <c r="J13" s="259"/>
      <c r="K13" s="259"/>
      <c r="L13" s="259"/>
      <c r="M13" s="259"/>
      <c r="N13" s="259"/>
      <c r="O13" s="260"/>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row>
    <row r="14" spans="1:168" s="132" customFormat="1" ht="15.75">
      <c r="A14" s="118" t="str">
        <f>'Assumptions '!J34</f>
        <v>Operations and Maintenance</v>
      </c>
      <c r="B14" s="255"/>
      <c r="C14" s="255">
        <f>$O14/12</f>
        <v>145.4291666666667</v>
      </c>
      <c r="D14" s="255">
        <f aca="true" t="shared" si="14" ref="D14:N14">$O14/12</f>
        <v>145.4291666666667</v>
      </c>
      <c r="E14" s="255">
        <f t="shared" si="14"/>
        <v>145.4291666666667</v>
      </c>
      <c r="F14" s="255">
        <f t="shared" si="14"/>
        <v>145.4291666666667</v>
      </c>
      <c r="G14" s="255">
        <f t="shared" si="14"/>
        <v>145.4291666666667</v>
      </c>
      <c r="H14" s="255">
        <f t="shared" si="14"/>
        <v>145.4291666666667</v>
      </c>
      <c r="I14" s="255">
        <f t="shared" si="14"/>
        <v>145.4291666666667</v>
      </c>
      <c r="J14" s="255">
        <f t="shared" si="14"/>
        <v>145.4291666666667</v>
      </c>
      <c r="K14" s="255">
        <f t="shared" si="14"/>
        <v>145.4291666666667</v>
      </c>
      <c r="L14" s="255">
        <f t="shared" si="14"/>
        <v>145.4291666666667</v>
      </c>
      <c r="M14" s="255">
        <f t="shared" si="14"/>
        <v>145.4291666666667</v>
      </c>
      <c r="N14" s="255">
        <f t="shared" si="14"/>
        <v>145.4291666666667</v>
      </c>
      <c r="O14" s="256">
        <f>'Assumptions '!$K$39*(1+'Assumptions '!$N$39)^('Pro Forma'!O$2-'Pro Forma'!$O$2)</f>
        <v>1745.1500000000003</v>
      </c>
      <c r="P14" s="255">
        <f>$AB14/12</f>
        <v>148.33775000000003</v>
      </c>
      <c r="Q14" s="255">
        <f aca="true" t="shared" si="15" ref="Q14:AA14">$AB14/12</f>
        <v>148.33775000000003</v>
      </c>
      <c r="R14" s="255">
        <f t="shared" si="15"/>
        <v>148.33775000000003</v>
      </c>
      <c r="S14" s="255">
        <f t="shared" si="15"/>
        <v>148.33775000000003</v>
      </c>
      <c r="T14" s="255">
        <f t="shared" si="15"/>
        <v>148.33775000000003</v>
      </c>
      <c r="U14" s="255">
        <f t="shared" si="15"/>
        <v>148.33775000000003</v>
      </c>
      <c r="V14" s="255">
        <f t="shared" si="15"/>
        <v>148.33775000000003</v>
      </c>
      <c r="W14" s="255">
        <f t="shared" si="15"/>
        <v>148.33775000000003</v>
      </c>
      <c r="X14" s="255">
        <f t="shared" si="15"/>
        <v>148.33775000000003</v>
      </c>
      <c r="Y14" s="255">
        <f t="shared" si="15"/>
        <v>148.33775000000003</v>
      </c>
      <c r="Z14" s="255">
        <f t="shared" si="15"/>
        <v>148.33775000000003</v>
      </c>
      <c r="AA14" s="255">
        <f t="shared" si="15"/>
        <v>148.33775000000003</v>
      </c>
      <c r="AB14" s="256">
        <f>'Assumptions '!$K$39*(1+'Assumptions '!$N$39)^('Pro Forma'!AB$2-'Pro Forma'!$O$2)</f>
        <v>1780.0530000000003</v>
      </c>
      <c r="AC14" s="255">
        <f>$AO14/12</f>
        <v>151.30450500000003</v>
      </c>
      <c r="AD14" s="255">
        <f aca="true" t="shared" si="16" ref="AD14:AN14">$AO14/12</f>
        <v>151.30450500000003</v>
      </c>
      <c r="AE14" s="255">
        <f t="shared" si="16"/>
        <v>151.30450500000003</v>
      </c>
      <c r="AF14" s="255">
        <f t="shared" si="16"/>
        <v>151.30450500000003</v>
      </c>
      <c r="AG14" s="255">
        <f t="shared" si="16"/>
        <v>151.30450500000003</v>
      </c>
      <c r="AH14" s="255">
        <f t="shared" si="16"/>
        <v>151.30450500000003</v>
      </c>
      <c r="AI14" s="255">
        <f t="shared" si="16"/>
        <v>151.30450500000003</v>
      </c>
      <c r="AJ14" s="255">
        <f t="shared" si="16"/>
        <v>151.30450500000003</v>
      </c>
      <c r="AK14" s="255">
        <f t="shared" si="16"/>
        <v>151.30450500000003</v>
      </c>
      <c r="AL14" s="255">
        <f t="shared" si="16"/>
        <v>151.30450500000003</v>
      </c>
      <c r="AM14" s="255">
        <f t="shared" si="16"/>
        <v>151.30450500000003</v>
      </c>
      <c r="AN14" s="255">
        <f t="shared" si="16"/>
        <v>151.30450500000003</v>
      </c>
      <c r="AO14" s="256">
        <f>'Assumptions '!$K$39*(1+'Assumptions '!$N$39)^('Pro Forma'!AO$2-'Pro Forma'!$O$2)</f>
        <v>1815.6540600000003</v>
      </c>
      <c r="AP14" s="256">
        <f>'Assumptions '!$K$39*(1+'Assumptions '!$N$39)^('Pro Forma'!AP$2-'Pro Forma'!$O$2)</f>
        <v>1851.9671412000002</v>
      </c>
      <c r="AQ14" s="256">
        <f>'Assumptions '!$K$39*(1+'Assumptions '!$N$39)^('Pro Forma'!AQ$2-'Pro Forma'!$O$2)</f>
        <v>1889.0064840240002</v>
      </c>
      <c r="AR14" s="256">
        <f>'Assumptions '!$K$39*(1+'Assumptions '!$N$39)^('Pro Forma'!AR$2-'Pro Forma'!$O$2)</f>
        <v>1926.7866137044805</v>
      </c>
      <c r="AS14" s="256">
        <f>'Assumptions '!$K$39*(1+'Assumptions '!$N$39)^('Pro Forma'!AS$2-'Pro Forma'!$O$2)</f>
        <v>1965.3223459785702</v>
      </c>
      <c r="AT14" s="256">
        <f>'Assumptions '!$K$39*(1+'Assumptions '!$N$39)^('Pro Forma'!AT$2-'Pro Forma'!$O$2)</f>
        <v>2004.628792898141</v>
      </c>
      <c r="AU14" s="256">
        <f>'Assumptions '!$K$39*(1+'Assumptions '!$N$39)^('Pro Forma'!AU$2-'Pro Forma'!$O$2)</f>
        <v>2044.721368756104</v>
      </c>
      <c r="AV14" s="256">
        <f>'Assumptions '!$K$39*(1+'Assumptions '!$N$39)^('Pro Forma'!AV$2-'Pro Forma'!$O$2)</f>
        <v>2085.615796131226</v>
      </c>
      <c r="AW14" s="256">
        <f>'Assumptions '!$K$39*(1+'Assumptions '!$N$39)^('Pro Forma'!AW$2-'Pro Forma'!$O$2)</f>
        <v>2127.328112053851</v>
      </c>
      <c r="AX14" s="256">
        <f>'Assumptions '!$K$39*(1+'Assumptions '!$N$39)^('Pro Forma'!AX$2-'Pro Forma'!$O$2)</f>
        <v>2169.8746742949274</v>
      </c>
      <c r="AY14" s="256">
        <f>'Assumptions '!$K$39*(1+'Assumptions '!$N$39)^('Pro Forma'!AY$2-'Pro Forma'!$O$2)</f>
        <v>2213.2721677808263</v>
      </c>
      <c r="AZ14" s="256">
        <f>'Assumptions '!$K$39*(1+'Assumptions '!$N$39)^('Pro Forma'!AZ$2-'Pro Forma'!$O$2)</f>
        <v>2257.5376111364426</v>
      </c>
      <c r="BA14" s="256">
        <f>'Assumptions '!$K$39*(1+'Assumptions '!$N$39)^('Pro Forma'!BA$2-'Pro Forma'!$O$2)</f>
        <v>2302.688363359172</v>
      </c>
      <c r="BB14" s="256">
        <f>'Assumptions '!$K$39*(1+'Assumptions '!$N$39)^('Pro Forma'!BB$2-'Pro Forma'!$O$2)</f>
        <v>2348.7421306263545</v>
      </c>
      <c r="BC14" s="256">
        <f>'Assumptions '!$K$39*(1+'Assumptions '!$N$39)^('Pro Forma'!BC$2-'Pro Forma'!$O$2)</f>
        <v>2395.716973238882</v>
      </c>
      <c r="BD14" s="256">
        <f>'Assumptions '!$K$39*(1+'Assumptions '!$N$39)^('Pro Forma'!BD$2-'Pro Forma'!$O$2)</f>
        <v>2443.6313127036597</v>
      </c>
      <c r="BE14" s="256">
        <f>'Assumptions '!$K$39*(1+'Assumptions '!$N$39)^('Pro Forma'!BE$2-'Pro Forma'!$O$2)</f>
        <v>2492.5039389577328</v>
      </c>
      <c r="BF14" s="256">
        <f>'Assumptions '!$K$39*(1+'Assumptions '!$N$39)^('Pro Forma'!BF$2-'Pro Forma'!$O$2)</f>
        <v>2542.3540177368873</v>
      </c>
      <c r="BG14" s="256">
        <f>'Assumptions '!$K$39*(1+'Assumptions '!$N$39)^('Pro Forma'!BG$2-'Pro Forma'!$O$2)</f>
        <v>2593.201098091625</v>
      </c>
      <c r="BH14" s="256">
        <f>'Assumptions '!$K$39*(1+'Assumptions '!$N$39)^('Pro Forma'!BH$2-'Pro Forma'!$O$2)</f>
        <v>2645.0651200534576</v>
      </c>
      <c r="BI14" s="256">
        <f>'Assumptions '!$K$39*(1+'Assumptions '!$N$39)^('Pro Forma'!BI$2-'Pro Forma'!$O$2)</f>
        <v>2697.9664224545268</v>
      </c>
      <c r="BJ14" s="256">
        <f>'Assumptions '!$K$39*(1+'Assumptions '!$N$39)^('Pro Forma'!BJ$2-'Pro Forma'!$O$2)</f>
        <v>2751.925750903617</v>
      </c>
      <c r="BK14" s="256">
        <f>'Assumptions '!$K$39*(1+'Assumptions '!$N$39)^('Pro Forma'!BK$2-'Pro Forma'!$O$2)</f>
        <v>2806.9642659216893</v>
      </c>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row>
    <row r="15" spans="1:168" s="132" customFormat="1" ht="15.75">
      <c r="A15" s="118" t="str">
        <f>'Assumptions '!J44</f>
        <v>O&amp;M 10 &amp; 15 Yr Repair</v>
      </c>
      <c r="B15" s="255"/>
      <c r="C15" s="255"/>
      <c r="D15" s="255"/>
      <c r="E15" s="255"/>
      <c r="F15" s="255"/>
      <c r="G15" s="255"/>
      <c r="H15" s="255"/>
      <c r="I15" s="255"/>
      <c r="J15" s="255"/>
      <c r="K15" s="255"/>
      <c r="L15" s="255"/>
      <c r="M15" s="255"/>
      <c r="N15" s="255"/>
      <c r="O15" s="256">
        <v>0</v>
      </c>
      <c r="P15" s="255"/>
      <c r="Q15" s="255"/>
      <c r="R15" s="255"/>
      <c r="S15" s="255"/>
      <c r="T15" s="255"/>
      <c r="U15" s="255"/>
      <c r="V15" s="255"/>
      <c r="W15" s="255"/>
      <c r="X15" s="255"/>
      <c r="Y15" s="255"/>
      <c r="Z15" s="255"/>
      <c r="AA15" s="255"/>
      <c r="AB15" s="256">
        <v>0</v>
      </c>
      <c r="AC15" s="255"/>
      <c r="AD15" s="255"/>
      <c r="AE15" s="255"/>
      <c r="AF15" s="255"/>
      <c r="AG15" s="255"/>
      <c r="AH15" s="255"/>
      <c r="AI15" s="255"/>
      <c r="AJ15" s="255"/>
      <c r="AK15" s="255"/>
      <c r="AL15" s="255"/>
      <c r="AM15" s="255"/>
      <c r="AN15" s="255"/>
      <c r="AO15" s="256">
        <v>0</v>
      </c>
      <c r="AP15" s="256">
        <v>0</v>
      </c>
      <c r="AQ15" s="256">
        <v>0</v>
      </c>
      <c r="AR15" s="256">
        <v>0</v>
      </c>
      <c r="AS15" s="256">
        <v>0</v>
      </c>
      <c r="AT15" s="256">
        <v>0</v>
      </c>
      <c r="AU15" s="256">
        <v>0</v>
      </c>
      <c r="AV15" s="256">
        <f>'Assumptions '!K45</f>
        <v>20000</v>
      </c>
      <c r="AW15" s="256">
        <v>0</v>
      </c>
      <c r="AX15" s="256">
        <v>0</v>
      </c>
      <c r="AY15" s="256">
        <v>0</v>
      </c>
      <c r="AZ15" s="256">
        <v>0</v>
      </c>
      <c r="BA15" s="256">
        <f>'Assumptions '!K46</f>
        <v>40000</v>
      </c>
      <c r="BB15" s="256">
        <v>0</v>
      </c>
      <c r="BC15" s="256">
        <v>0</v>
      </c>
      <c r="BD15" s="256">
        <v>0</v>
      </c>
      <c r="BE15" s="256">
        <v>0</v>
      </c>
      <c r="BF15" s="256">
        <v>0</v>
      </c>
      <c r="BG15" s="256">
        <v>0</v>
      </c>
      <c r="BH15" s="256">
        <v>0</v>
      </c>
      <c r="BI15" s="256">
        <v>0</v>
      </c>
      <c r="BJ15" s="256">
        <v>0</v>
      </c>
      <c r="BK15" s="256">
        <v>0</v>
      </c>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row>
    <row r="16" spans="1:168" s="132" customFormat="1" ht="15.75">
      <c r="A16" s="118" t="str">
        <f>'Assumptions '!J42</f>
        <v>O&amp;M Contingency Fund</v>
      </c>
      <c r="B16" s="255"/>
      <c r="C16" s="255">
        <f aca="true" t="shared" si="17" ref="C16:N25">$O16/12</f>
        <v>26.441666666666666</v>
      </c>
      <c r="D16" s="255">
        <f t="shared" si="17"/>
        <v>26.441666666666666</v>
      </c>
      <c r="E16" s="255">
        <f t="shared" si="17"/>
        <v>26.441666666666666</v>
      </c>
      <c r="F16" s="255">
        <f t="shared" si="17"/>
        <v>26.441666666666666</v>
      </c>
      <c r="G16" s="255">
        <f t="shared" si="17"/>
        <v>26.441666666666666</v>
      </c>
      <c r="H16" s="255">
        <f t="shared" si="17"/>
        <v>26.441666666666666</v>
      </c>
      <c r="I16" s="255">
        <f t="shared" si="17"/>
        <v>26.441666666666666</v>
      </c>
      <c r="J16" s="255">
        <f t="shared" si="17"/>
        <v>26.441666666666666</v>
      </c>
      <c r="K16" s="255">
        <f t="shared" si="17"/>
        <v>26.441666666666666</v>
      </c>
      <c r="L16" s="255">
        <f t="shared" si="17"/>
        <v>26.441666666666666</v>
      </c>
      <c r="M16" s="255">
        <f t="shared" si="17"/>
        <v>26.441666666666666</v>
      </c>
      <c r="N16" s="255">
        <f t="shared" si="17"/>
        <v>26.441666666666666</v>
      </c>
      <c r="O16" s="256">
        <f>IF(AND(O2&gt;='Assumptions '!$O$42,'Pro Forma'!O2&lt;='Assumptions '!$P$42),('Assumptions '!$K$42)*(1+'Assumptions '!$N$42)^('Pro Forma'!O$2-'Pro Forma'!$O$2))</f>
        <v>317.3</v>
      </c>
      <c r="P16" s="255">
        <f aca="true" t="shared" si="18" ref="P16:AA25">$AB16/12</f>
        <v>26.9705</v>
      </c>
      <c r="Q16" s="255">
        <f t="shared" si="18"/>
        <v>26.9705</v>
      </c>
      <c r="R16" s="255">
        <f t="shared" si="18"/>
        <v>26.9705</v>
      </c>
      <c r="S16" s="255">
        <f t="shared" si="18"/>
        <v>26.9705</v>
      </c>
      <c r="T16" s="255">
        <f t="shared" si="18"/>
        <v>26.9705</v>
      </c>
      <c r="U16" s="255">
        <f t="shared" si="18"/>
        <v>26.9705</v>
      </c>
      <c r="V16" s="255">
        <f t="shared" si="18"/>
        <v>26.9705</v>
      </c>
      <c r="W16" s="255">
        <f t="shared" si="18"/>
        <v>26.9705</v>
      </c>
      <c r="X16" s="255">
        <f t="shared" si="18"/>
        <v>26.9705</v>
      </c>
      <c r="Y16" s="255">
        <f t="shared" si="18"/>
        <v>26.9705</v>
      </c>
      <c r="Z16" s="255">
        <f t="shared" si="18"/>
        <v>26.9705</v>
      </c>
      <c r="AA16" s="255">
        <f t="shared" si="18"/>
        <v>26.9705</v>
      </c>
      <c r="AB16" s="256">
        <f>IF(AND(AB2&gt;='Assumptions '!$O$42,'Pro Forma'!AB2&lt;='Assumptions '!$P$42),('Assumptions '!$K$42)*(1+'Assumptions '!$N$42)^('Pro Forma'!AB$2-'Pro Forma'!$O$2))</f>
        <v>323.646</v>
      </c>
      <c r="AC16" s="255">
        <f aca="true" t="shared" si="19" ref="AC16:AN24">$AO16/12</f>
        <v>27.50991</v>
      </c>
      <c r="AD16" s="255">
        <f t="shared" si="19"/>
        <v>27.50991</v>
      </c>
      <c r="AE16" s="255">
        <f t="shared" si="19"/>
        <v>27.50991</v>
      </c>
      <c r="AF16" s="255">
        <f t="shared" si="19"/>
        <v>27.50991</v>
      </c>
      <c r="AG16" s="255">
        <f t="shared" si="19"/>
        <v>27.50991</v>
      </c>
      <c r="AH16" s="255">
        <f t="shared" si="19"/>
        <v>27.50991</v>
      </c>
      <c r="AI16" s="255">
        <f t="shared" si="19"/>
        <v>27.50991</v>
      </c>
      <c r="AJ16" s="255">
        <f t="shared" si="19"/>
        <v>27.50991</v>
      </c>
      <c r="AK16" s="255">
        <f t="shared" si="19"/>
        <v>27.50991</v>
      </c>
      <c r="AL16" s="255">
        <f t="shared" si="19"/>
        <v>27.50991</v>
      </c>
      <c r="AM16" s="255">
        <f t="shared" si="19"/>
        <v>27.50991</v>
      </c>
      <c r="AN16" s="255">
        <f t="shared" si="19"/>
        <v>27.50991</v>
      </c>
      <c r="AO16" s="256">
        <f>IF(AND(AO2&gt;='Assumptions '!$O$42,'Pro Forma'!AO2&lt;='Assumptions '!$P$42),('Assumptions '!$K$42)*(1+'Assumptions '!$N$42)^('Pro Forma'!AO$2-'Pro Forma'!$O$2))</f>
        <v>330.11892</v>
      </c>
      <c r="AP16" s="256">
        <f>IF(AND(AP2&gt;='Assumptions '!$O$42,'Pro Forma'!AP2&lt;='Assumptions '!$P$42),('Assumptions '!$K$42)*(1+'Assumptions '!$N$42)^('Pro Forma'!AP$2-'Pro Forma'!$O$2))</f>
        <v>336.72129839999997</v>
      </c>
      <c r="AQ16" s="256">
        <f>IF(AND(AQ2&gt;='Assumptions '!$O$42,'Pro Forma'!AQ2&lt;='Assumptions '!$P$42),('Assumptions '!$K$42)*(1+'Assumptions '!$N$42)^('Pro Forma'!AQ$2-'Pro Forma'!$O$2))</f>
        <v>343.455724368</v>
      </c>
      <c r="AR16" s="256">
        <f>IF(AND(AR2&gt;='Assumptions '!$O$42,'Pro Forma'!AR2&lt;='Assumptions '!$P$42),('Assumptions '!$K$42)*(1+'Assumptions '!$N$42)^('Pro Forma'!AR$2-'Pro Forma'!$O$2))</f>
        <v>350.32483885536004</v>
      </c>
      <c r="AS16" s="256">
        <f>IF(AND(AS2&gt;='Assumptions '!$O$42,'Pro Forma'!AS2&lt;='Assumptions '!$P$42),('Assumptions '!$K$42)*(1+'Assumptions '!$N$42)^('Pro Forma'!AS$2-'Pro Forma'!$O$2))</f>
        <v>357.33133563246724</v>
      </c>
      <c r="AT16" s="256">
        <f>IF(AND(AT2&gt;='Assumptions '!$O$42,'Pro Forma'!AT2&lt;='Assumptions '!$P$42),('Assumptions '!$K$42)*(1+'Assumptions '!$N$42)^('Pro Forma'!AT$2-'Pro Forma'!$O$2))</f>
        <v>364.4779623451165</v>
      </c>
      <c r="AU16" s="256">
        <f>IF(AND(AU2&gt;='Assumptions '!$O$42,'Pro Forma'!AU2&lt;='Assumptions '!$P$42),('Assumptions '!$K$42)*(1+'Assumptions '!$N$42)^('Pro Forma'!AU$2-'Pro Forma'!$O$2))</f>
        <v>371.76752159201885</v>
      </c>
      <c r="AV16" s="256">
        <f>IF(AND(AV2&gt;='Assumptions '!$O$42,'Pro Forma'!AV2&lt;='Assumptions '!$P$42),('Assumptions '!$K$42)*(1+'Assumptions '!$N$42)^('Pro Forma'!AV$2-'Pro Forma'!$O$2))</f>
        <v>379.20287202385924</v>
      </c>
      <c r="AW16" s="256">
        <f>IF(AND(AW2&gt;='Assumptions '!$O$42,'Pro Forma'!AW2&lt;='Assumptions '!$P$42),('Assumptions '!$K$42)*(1+'Assumptions '!$N$42)^('Pro Forma'!AW$2-'Pro Forma'!$O$2))</f>
        <v>386.7869294643364</v>
      </c>
      <c r="AX16" s="256">
        <f>IF(AND(AX2&gt;='Assumptions '!$O$42,'Pro Forma'!AX2&lt;='Assumptions '!$P$42),('Assumptions '!$K$42)*(1+'Assumptions '!$N$42)^('Pro Forma'!AX$2-'Pro Forma'!$O$2))</f>
        <v>394.5226680536231</v>
      </c>
      <c r="AY16" s="256">
        <f>IF(AND(AY2&gt;='Assumptions '!$O$42,'Pro Forma'!AY2&lt;='Assumptions '!$P$42),('Assumptions '!$K$42)*(1+'Assumptions '!$N$42)^('Pro Forma'!AY$2-'Pro Forma'!$O$2))</f>
        <v>402.41312141469564</v>
      </c>
      <c r="AZ16" s="256">
        <f>IF(AND(AZ2&gt;='Assumptions '!$O$42,'Pro Forma'!AZ2&lt;='Assumptions '!$P$42),('Assumptions '!$K$42)*(1+'Assumptions '!$N$42)^('Pro Forma'!AZ$2-'Pro Forma'!$O$2))</f>
        <v>410.4613838429895</v>
      </c>
      <c r="BA16" s="256">
        <f>IF(AND(BA2&gt;='Assumptions '!$O$42,'Pro Forma'!BA2&lt;='Assumptions '!$P$42),('Assumptions '!$K$42)*(1+'Assumptions '!$N$42)^('Pro Forma'!BA$2-'Pro Forma'!$O$2))</f>
        <v>418.67061151984933</v>
      </c>
      <c r="BB16" s="256">
        <f>IF(AND(BB2&gt;='Assumptions '!$O$42,'Pro Forma'!BB2&lt;='Assumptions '!$P$42),('Assumptions '!$K$42)*(1+'Assumptions '!$N$42)^('Pro Forma'!BB$2-'Pro Forma'!$O$2))</f>
        <v>427.0440237502462</v>
      </c>
      <c r="BC16" s="256">
        <f>IF(AND(BC2&gt;='Assumptions '!$O$42,'Pro Forma'!BC2&lt;='Assumptions '!$P$42),('Assumptions '!$K$42)*(1+'Assumptions '!$N$42)^('Pro Forma'!BC$2-'Pro Forma'!$O$2))</f>
        <v>435.5849042252512</v>
      </c>
      <c r="BD16" s="256">
        <f>IF(AND(BD2&gt;='Assumptions '!$O$42,'Pro Forma'!BD2&lt;='Assumptions '!$P$42),('Assumptions '!$K$42)*(1+'Assumptions '!$N$42)^('Pro Forma'!BD$2-'Pro Forma'!$O$2))</f>
        <v>444.2966023097563</v>
      </c>
      <c r="BE16" s="256">
        <f>IF(AND(BE2&gt;='Assumptions '!$O$42,'Pro Forma'!BE2&lt;='Assumptions '!$P$42),('Assumptions '!$K$42)*(1+'Assumptions '!$N$42)^('Pro Forma'!BE$2-'Pro Forma'!$O$2))</f>
        <v>453.18253435595136</v>
      </c>
      <c r="BF16" s="256">
        <f>IF(AND(BF2&gt;='Assumptions '!$O$42,'Pro Forma'!BF2&lt;='Assumptions '!$P$42),('Assumptions '!$K$42)*(1+'Assumptions '!$N$42)^('Pro Forma'!BF$2-'Pro Forma'!$O$2))</f>
        <v>462.24618504307034</v>
      </c>
      <c r="BG16" s="256">
        <f>IF(AND(BG2&gt;='Assumptions '!$O$42,'Pro Forma'!BG2&lt;='Assumptions '!$P$42),('Assumptions '!$K$42)*(1+'Assumptions '!$N$42)^('Pro Forma'!BG$2-'Pro Forma'!$O$2))</f>
        <v>471.4911087439318</v>
      </c>
      <c r="BH16" s="256">
        <f>IF(AND(BH2&gt;='Assumptions '!$O$42,'Pro Forma'!BH2&lt;='Assumptions '!$P$42),('Assumptions '!$K$42)*(1+'Assumptions '!$N$42)^('Pro Forma'!BH$2-'Pro Forma'!$O$2))</f>
        <v>480.9209309188104</v>
      </c>
      <c r="BI16" s="256">
        <f>IF(AND(BI2&gt;='Assumptions '!$O$42,'Pro Forma'!BI2&lt;='Assumptions '!$P$42),('Assumptions '!$K$42)*(1+'Assumptions '!$N$42)^('Pro Forma'!BI$2-'Pro Forma'!$O$2))</f>
        <v>490.53934953718664</v>
      </c>
      <c r="BJ16" s="256">
        <f>IF(AND(BJ2&gt;='Assumptions '!$O$42,'Pro Forma'!BJ2&lt;='Assumptions '!$P$42),('Assumptions '!$K$42)*(1+'Assumptions '!$N$42)^('Pro Forma'!BJ$2-'Pro Forma'!$O$2))</f>
        <v>500.3501365279303</v>
      </c>
      <c r="BK16" s="256">
        <f>IF(AND(BK2&gt;='Assumptions '!$O$42,'Pro Forma'!BK2&lt;='Assumptions '!$P$42),('Assumptions '!$K$42)*(1+'Assumptions '!$N$42)^('Pro Forma'!BK$2-'Pro Forma'!$O$2))</f>
        <v>510.3571392584889</v>
      </c>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row>
    <row r="17" spans="1:168" s="132" customFormat="1" ht="15.75">
      <c r="A17" s="124" t="str">
        <f>'Assumptions '!B43</f>
        <v>Insurance</v>
      </c>
      <c r="B17" s="255"/>
      <c r="C17" s="255">
        <f t="shared" si="17"/>
        <v>13.220833333333333</v>
      </c>
      <c r="D17" s="255">
        <f t="shared" si="17"/>
        <v>13.220833333333333</v>
      </c>
      <c r="E17" s="255">
        <f t="shared" si="17"/>
        <v>13.220833333333333</v>
      </c>
      <c r="F17" s="255">
        <f t="shared" si="17"/>
        <v>13.220833333333333</v>
      </c>
      <c r="G17" s="255">
        <f t="shared" si="17"/>
        <v>13.220833333333333</v>
      </c>
      <c r="H17" s="255">
        <f t="shared" si="17"/>
        <v>13.220833333333333</v>
      </c>
      <c r="I17" s="255">
        <f t="shared" si="17"/>
        <v>13.220833333333333</v>
      </c>
      <c r="J17" s="255">
        <f t="shared" si="17"/>
        <v>13.220833333333333</v>
      </c>
      <c r="K17" s="255">
        <f t="shared" si="17"/>
        <v>13.220833333333333</v>
      </c>
      <c r="L17" s="255">
        <f t="shared" si="17"/>
        <v>13.220833333333333</v>
      </c>
      <c r="M17" s="255">
        <f t="shared" si="17"/>
        <v>13.220833333333333</v>
      </c>
      <c r="N17" s="255">
        <f t="shared" si="17"/>
        <v>13.220833333333333</v>
      </c>
      <c r="O17" s="256">
        <f>IF(AND(O$2&gt;='Assumptions '!$G43,'Pro Forma'!O$2&lt;='Assumptions '!$H43),('Assumptions '!$C43)*(1+'Assumptions '!$F$43)^('Pro Forma'!O$2-'Pro Forma'!$O$2),0)</f>
        <v>158.65</v>
      </c>
      <c r="P17" s="255">
        <f t="shared" si="18"/>
        <v>13.48525</v>
      </c>
      <c r="Q17" s="255">
        <f t="shared" si="18"/>
        <v>13.48525</v>
      </c>
      <c r="R17" s="255">
        <f t="shared" si="18"/>
        <v>13.48525</v>
      </c>
      <c r="S17" s="255">
        <f t="shared" si="18"/>
        <v>13.48525</v>
      </c>
      <c r="T17" s="255">
        <f t="shared" si="18"/>
        <v>13.48525</v>
      </c>
      <c r="U17" s="255">
        <f t="shared" si="18"/>
        <v>13.48525</v>
      </c>
      <c r="V17" s="255">
        <f t="shared" si="18"/>
        <v>13.48525</v>
      </c>
      <c r="W17" s="255">
        <f t="shared" si="18"/>
        <v>13.48525</v>
      </c>
      <c r="X17" s="255">
        <f t="shared" si="18"/>
        <v>13.48525</v>
      </c>
      <c r="Y17" s="255">
        <f t="shared" si="18"/>
        <v>13.48525</v>
      </c>
      <c r="Z17" s="255">
        <f t="shared" si="18"/>
        <v>13.48525</v>
      </c>
      <c r="AA17" s="255">
        <f t="shared" si="18"/>
        <v>13.48525</v>
      </c>
      <c r="AB17" s="256">
        <f>IF(AND(AB$2&gt;='Assumptions '!$G43,'Pro Forma'!AB$2&lt;='Assumptions '!$H43),('Assumptions '!$C43)*(1+'Assumptions '!$F$43)^('Pro Forma'!AB$2-'Pro Forma'!$O$2),0)</f>
        <v>161.823</v>
      </c>
      <c r="AC17" s="255">
        <f t="shared" si="19"/>
        <v>13.754955</v>
      </c>
      <c r="AD17" s="255">
        <f t="shared" si="19"/>
        <v>13.754955</v>
      </c>
      <c r="AE17" s="255">
        <f t="shared" si="19"/>
        <v>13.754955</v>
      </c>
      <c r="AF17" s="255">
        <f t="shared" si="19"/>
        <v>13.754955</v>
      </c>
      <c r="AG17" s="255">
        <f t="shared" si="19"/>
        <v>13.754955</v>
      </c>
      <c r="AH17" s="255">
        <f t="shared" si="19"/>
        <v>13.754955</v>
      </c>
      <c r="AI17" s="255">
        <f t="shared" si="19"/>
        <v>13.754955</v>
      </c>
      <c r="AJ17" s="255">
        <f t="shared" si="19"/>
        <v>13.754955</v>
      </c>
      <c r="AK17" s="255">
        <f t="shared" si="19"/>
        <v>13.754955</v>
      </c>
      <c r="AL17" s="255">
        <f t="shared" si="19"/>
        <v>13.754955</v>
      </c>
      <c r="AM17" s="255">
        <f t="shared" si="19"/>
        <v>13.754955</v>
      </c>
      <c r="AN17" s="255">
        <f t="shared" si="19"/>
        <v>13.754955</v>
      </c>
      <c r="AO17" s="256">
        <f>IF(AND(AO$2&gt;='Assumptions '!$G43,'Pro Forma'!AO$2&lt;='Assumptions '!$H43),('Assumptions '!$C43)*(1+'Assumptions '!$F$43)^('Pro Forma'!AO$2-'Pro Forma'!$O$2),0)</f>
        <v>165.05946</v>
      </c>
      <c r="AP17" s="256">
        <f>IF(AND(AP$2&gt;='Assumptions '!$G43,'Pro Forma'!AP$2&lt;='Assumptions '!$H43),('Assumptions '!$C43)*(1+'Assumptions '!$F$43)^('Pro Forma'!AP$2-'Pro Forma'!$O$2),0)</f>
        <v>168.36064919999998</v>
      </c>
      <c r="AQ17" s="256">
        <f>IF(AND(AQ$2&gt;='Assumptions '!$G43,'Pro Forma'!AQ$2&lt;='Assumptions '!$H43),('Assumptions '!$C43)*(1+'Assumptions '!$F$43)^('Pro Forma'!AQ$2-'Pro Forma'!$O$2),0)</f>
        <v>171.727862184</v>
      </c>
      <c r="AR17" s="256">
        <f>IF(AND(AR$2&gt;='Assumptions '!$G43,'Pro Forma'!AR$2&lt;='Assumptions '!$H43),('Assumptions '!$C43)*(1+'Assumptions '!$F$43)^('Pro Forma'!AR$2-'Pro Forma'!$O$2),0)</f>
        <v>175.16241942768002</v>
      </c>
      <c r="AS17" s="256">
        <f>IF(AND(AS$2&gt;='Assumptions '!$G43,'Pro Forma'!AS$2&lt;='Assumptions '!$H43),('Assumptions '!$C43)*(1+'Assumptions '!$F$43)^('Pro Forma'!AS$2-'Pro Forma'!$O$2),0)</f>
        <v>178.66566781623362</v>
      </c>
      <c r="AT17" s="256">
        <f>IF(AND(AT$2&gt;='Assumptions '!$G43,'Pro Forma'!AT$2&lt;='Assumptions '!$H43),('Assumptions '!$C43)*(1+'Assumptions '!$F$43)^('Pro Forma'!AT$2-'Pro Forma'!$O$2),0)</f>
        <v>182.23898117255825</v>
      </c>
      <c r="AU17" s="256">
        <f>IF(AND(AU$2&gt;='Assumptions '!$G43,'Pro Forma'!AU$2&lt;='Assumptions '!$H43),('Assumptions '!$C43)*(1+'Assumptions '!$F$43)^('Pro Forma'!AU$2-'Pro Forma'!$O$2),0)</f>
        <v>185.88376079600943</v>
      </c>
      <c r="AV17" s="256">
        <f>IF(AND(AV$2&gt;='Assumptions '!$G43,'Pro Forma'!AV$2&lt;='Assumptions '!$H43),('Assumptions '!$C43)*(1+'Assumptions '!$F$43)^('Pro Forma'!AV$2-'Pro Forma'!$O$2),0)</f>
        <v>189.60143601192962</v>
      </c>
      <c r="AW17" s="256">
        <f>IF(AND(AW$2&gt;='Assumptions '!$G43,'Pro Forma'!AW$2&lt;='Assumptions '!$H43),('Assumptions '!$C43)*(1+'Assumptions '!$F$43)^('Pro Forma'!AW$2-'Pro Forma'!$O$2),0)</f>
        <v>193.3934647321682</v>
      </c>
      <c r="AX17" s="256">
        <f>IF(AND(AX$2&gt;='Assumptions '!$G43,'Pro Forma'!AX$2&lt;='Assumptions '!$H43),('Assumptions '!$C43)*(1+'Assumptions '!$F$43)^('Pro Forma'!AX$2-'Pro Forma'!$O$2),0)</f>
        <v>197.26133402681154</v>
      </c>
      <c r="AY17" s="256">
        <f>IF(AND(AY$2&gt;='Assumptions '!$G43,'Pro Forma'!AY$2&lt;='Assumptions '!$H43),('Assumptions '!$C43)*(1+'Assumptions '!$F$43)^('Pro Forma'!AY$2-'Pro Forma'!$O$2),0)</f>
        <v>201.20656070734782</v>
      </c>
      <c r="AZ17" s="256">
        <f>IF(AND(AZ$2&gt;='Assumptions '!$G43,'Pro Forma'!AZ$2&lt;='Assumptions '!$H43),('Assumptions '!$C43)*(1+'Assumptions '!$F$43)^('Pro Forma'!AZ$2-'Pro Forma'!$O$2),0)</f>
        <v>205.23069192149475</v>
      </c>
      <c r="BA17" s="256">
        <f>IF(AND(BA$2&gt;='Assumptions '!$G43,'Pro Forma'!BA$2&lt;='Assumptions '!$H43),('Assumptions '!$C43)*(1+'Assumptions '!$F$43)^('Pro Forma'!BA$2-'Pro Forma'!$O$2),0)</f>
        <v>209.33530575992467</v>
      </c>
      <c r="BB17" s="256">
        <f>IF(AND(BB$2&gt;='Assumptions '!$G43,'Pro Forma'!BB$2&lt;='Assumptions '!$H43),('Assumptions '!$C43)*(1+'Assumptions '!$F$43)^('Pro Forma'!BB$2-'Pro Forma'!$O$2),0)</f>
        <v>213.5220118751231</v>
      </c>
      <c r="BC17" s="256">
        <f>IF(AND(BC$2&gt;='Assumptions '!$G43,'Pro Forma'!BC$2&lt;='Assumptions '!$H43),('Assumptions '!$C43)*(1+'Assumptions '!$F$43)^('Pro Forma'!BC$2-'Pro Forma'!$O$2),0)</f>
        <v>217.7924521126256</v>
      </c>
      <c r="BD17" s="256">
        <f>IF(AND(BD$2&gt;='Assumptions '!$G43,'Pro Forma'!BD$2&lt;='Assumptions '!$H43),('Assumptions '!$C43)*(1+'Assumptions '!$F$43)^('Pro Forma'!BD$2-'Pro Forma'!$O$2),0)</f>
        <v>222.14830115487814</v>
      </c>
      <c r="BE17" s="256">
        <f>IF(AND(BE$2&gt;='Assumptions '!$G43,'Pro Forma'!BE$2&lt;='Assumptions '!$H43),('Assumptions '!$C43)*(1+'Assumptions '!$F$43)^('Pro Forma'!BE$2-'Pro Forma'!$O$2),0)</f>
        <v>226.59126717797568</v>
      </c>
      <c r="BF17" s="256">
        <f>IF(AND(BF$2&gt;='Assumptions '!$G43,'Pro Forma'!BF$2&lt;='Assumptions '!$H43),('Assumptions '!$C43)*(1+'Assumptions '!$F$43)^('Pro Forma'!BF$2-'Pro Forma'!$O$2),0)</f>
        <v>231.12309252153517</v>
      </c>
      <c r="BG17" s="256">
        <f>IF(AND(BG$2&gt;='Assumptions '!$G43,'Pro Forma'!BG$2&lt;='Assumptions '!$H43),('Assumptions '!$C43)*(1+'Assumptions '!$F$43)^('Pro Forma'!BG$2-'Pro Forma'!$O$2),0)</f>
        <v>235.7455543719659</v>
      </c>
      <c r="BH17" s="256">
        <f>IF(AND(BH$2&gt;='Assumptions '!$G43,'Pro Forma'!BH$2&lt;='Assumptions '!$H43),('Assumptions '!$C43)*(1+'Assumptions '!$F$43)^('Pro Forma'!BH$2-'Pro Forma'!$O$2),0)</f>
        <v>240.4604654594052</v>
      </c>
      <c r="BI17" s="256">
        <f>IF(AND(BI$2&gt;='Assumptions '!$G43,'Pro Forma'!BI$2&lt;='Assumptions '!$H43),('Assumptions '!$C43)*(1+'Assumptions '!$F$43)^('Pro Forma'!BI$2-'Pro Forma'!$O$2),0)</f>
        <v>245.26967476859332</v>
      </c>
      <c r="BJ17" s="256">
        <f>IF(AND(BJ$2&gt;='Assumptions '!$G43,'Pro Forma'!BJ$2&lt;='Assumptions '!$H43),('Assumptions '!$C43)*(1+'Assumptions '!$F$43)^('Pro Forma'!BJ$2-'Pro Forma'!$O$2),0)</f>
        <v>250.17506826396516</v>
      </c>
      <c r="BK17" s="256">
        <f>IF(AND(BK$2&gt;='Assumptions '!$G43,'Pro Forma'!BK$2&lt;='Assumptions '!$H43),('Assumptions '!$C43)*(1+'Assumptions '!$F$43)^('Pro Forma'!BK$2-'Pro Forma'!$O$2),0)</f>
        <v>255.17856962924446</v>
      </c>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row>
    <row r="18" spans="1:168" s="132" customFormat="1" ht="15.75">
      <c r="A18" s="124" t="str">
        <f>'Assumptions '!B44</f>
        <v>Lease Payment to Landowner</v>
      </c>
      <c r="B18" s="255"/>
      <c r="C18" s="255">
        <f t="shared" si="17"/>
        <v>0</v>
      </c>
      <c r="D18" s="255">
        <f t="shared" si="17"/>
        <v>0</v>
      </c>
      <c r="E18" s="255">
        <f t="shared" si="17"/>
        <v>0</v>
      </c>
      <c r="F18" s="255">
        <f t="shared" si="17"/>
        <v>0</v>
      </c>
      <c r="G18" s="255">
        <f t="shared" si="17"/>
        <v>0</v>
      </c>
      <c r="H18" s="255">
        <f t="shared" si="17"/>
        <v>0</v>
      </c>
      <c r="I18" s="255">
        <f t="shared" si="17"/>
        <v>0</v>
      </c>
      <c r="J18" s="255">
        <f t="shared" si="17"/>
        <v>0</v>
      </c>
      <c r="K18" s="255">
        <f t="shared" si="17"/>
        <v>0</v>
      </c>
      <c r="L18" s="255">
        <f t="shared" si="17"/>
        <v>0</v>
      </c>
      <c r="M18" s="255">
        <f t="shared" si="17"/>
        <v>0</v>
      </c>
      <c r="N18" s="255">
        <f t="shared" si="17"/>
        <v>0</v>
      </c>
      <c r="O18" s="256">
        <f>IF(AND(O$2&gt;='Assumptions '!$G44,'Pro Forma'!O$2&lt;='Assumptions '!$H44),('Assumptions '!$C44)*(1+'Assumptions '!$F$44)^('Pro Forma'!O$2-'Pro Forma'!$O$2),0)</f>
        <v>0</v>
      </c>
      <c r="P18" s="255">
        <f t="shared" si="18"/>
        <v>0</v>
      </c>
      <c r="Q18" s="255">
        <f t="shared" si="18"/>
        <v>0</v>
      </c>
      <c r="R18" s="255">
        <f t="shared" si="18"/>
        <v>0</v>
      </c>
      <c r="S18" s="255">
        <f t="shared" si="18"/>
        <v>0</v>
      </c>
      <c r="T18" s="255">
        <f t="shared" si="18"/>
        <v>0</v>
      </c>
      <c r="U18" s="255">
        <f t="shared" si="18"/>
        <v>0</v>
      </c>
      <c r="V18" s="255">
        <f t="shared" si="18"/>
        <v>0</v>
      </c>
      <c r="W18" s="255">
        <f t="shared" si="18"/>
        <v>0</v>
      </c>
      <c r="X18" s="255">
        <f t="shared" si="18"/>
        <v>0</v>
      </c>
      <c r="Y18" s="255">
        <f t="shared" si="18"/>
        <v>0</v>
      </c>
      <c r="Z18" s="255">
        <f t="shared" si="18"/>
        <v>0</v>
      </c>
      <c r="AA18" s="255">
        <f t="shared" si="18"/>
        <v>0</v>
      </c>
      <c r="AB18" s="256">
        <f>IF(AND(AB$2&gt;='Assumptions '!$G44,'Pro Forma'!AB$2&lt;='Assumptions '!$H44),('Assumptions '!$C44)*(1+'Assumptions '!$F$44)^('Pro Forma'!AB$2-'Pro Forma'!$O$2),0)</f>
        <v>0</v>
      </c>
      <c r="AC18" s="255">
        <f t="shared" si="19"/>
        <v>0</v>
      </c>
      <c r="AD18" s="255">
        <f t="shared" si="19"/>
        <v>0</v>
      </c>
      <c r="AE18" s="255">
        <f t="shared" si="19"/>
        <v>0</v>
      </c>
      <c r="AF18" s="255">
        <f t="shared" si="19"/>
        <v>0</v>
      </c>
      <c r="AG18" s="255">
        <f t="shared" si="19"/>
        <v>0</v>
      </c>
      <c r="AH18" s="255">
        <f t="shared" si="19"/>
        <v>0</v>
      </c>
      <c r="AI18" s="255">
        <f t="shared" si="19"/>
        <v>0</v>
      </c>
      <c r="AJ18" s="255">
        <f t="shared" si="19"/>
        <v>0</v>
      </c>
      <c r="AK18" s="255">
        <f t="shared" si="19"/>
        <v>0</v>
      </c>
      <c r="AL18" s="255">
        <f t="shared" si="19"/>
        <v>0</v>
      </c>
      <c r="AM18" s="255">
        <f t="shared" si="19"/>
        <v>0</v>
      </c>
      <c r="AN18" s="255">
        <f t="shared" si="19"/>
        <v>0</v>
      </c>
      <c r="AO18" s="256">
        <f>IF(AND(AO$2&gt;='Assumptions '!$G44,'Pro Forma'!AO$2&lt;='Assumptions '!$H44),('Assumptions '!$C44)*(1+'Assumptions '!$F$44)^('Pro Forma'!AO$2-'Pro Forma'!$O$2),0)</f>
        <v>0</v>
      </c>
      <c r="AP18" s="256">
        <f>IF(AND(AP$2&gt;='Assumptions '!$G44,'Pro Forma'!AP$2&lt;='Assumptions '!$H44),('Assumptions '!$C44)*(1+'Assumptions '!$F$44)^('Pro Forma'!AP$2-'Pro Forma'!$O$2),0)</f>
        <v>0</v>
      </c>
      <c r="AQ18" s="256">
        <f>IF(AND(AQ$2&gt;='Assumptions '!$G44,'Pro Forma'!AQ$2&lt;='Assumptions '!$H44),('Assumptions '!$C44)*(1+'Assumptions '!$F$44)^('Pro Forma'!AQ$2-'Pro Forma'!$O$2),0)</f>
        <v>0</v>
      </c>
      <c r="AR18" s="256">
        <f>IF(AND(AR$2&gt;='Assumptions '!$G44,'Pro Forma'!AR$2&lt;='Assumptions '!$H44),('Assumptions '!$C44)*(1+'Assumptions '!$F$44)^('Pro Forma'!AR$2-'Pro Forma'!$O$2),0)</f>
        <v>0</v>
      </c>
      <c r="AS18" s="256">
        <f>IF(AND(AS$2&gt;='Assumptions '!$G44,'Pro Forma'!AS$2&lt;='Assumptions '!$H44),('Assumptions '!$C44)*(1+'Assumptions '!$F$44)^('Pro Forma'!AS$2-'Pro Forma'!$O$2),0)</f>
        <v>0</v>
      </c>
      <c r="AT18" s="256">
        <f>IF(AND(AT$2&gt;='Assumptions '!$G44,'Pro Forma'!AT$2&lt;='Assumptions '!$H44),('Assumptions '!$C44)*(1+'Assumptions '!$F$44)^('Pro Forma'!AT$2-'Pro Forma'!$O$2),0)</f>
        <v>0</v>
      </c>
      <c r="AU18" s="256">
        <f>IF(AND(AU$2&gt;='Assumptions '!$G44,'Pro Forma'!AU$2&lt;='Assumptions '!$H44),('Assumptions '!$C44)*(1+'Assumptions '!$F$44)^('Pro Forma'!AU$2-'Pro Forma'!$O$2),0)</f>
        <v>0</v>
      </c>
      <c r="AV18" s="256">
        <f>IF(AND(AV$2&gt;='Assumptions '!$G44,'Pro Forma'!AV$2&lt;='Assumptions '!$H44),('Assumptions '!$C44)*(1+'Assumptions '!$F$44)^('Pro Forma'!AV$2-'Pro Forma'!$O$2),0)</f>
        <v>0</v>
      </c>
      <c r="AW18" s="256">
        <f>IF(AND(AW$2&gt;='Assumptions '!$G44,'Pro Forma'!AW$2&lt;='Assumptions '!$H44),('Assumptions '!$C44)*(1+'Assumptions '!$F$44)^('Pro Forma'!AW$2-'Pro Forma'!$O$2),0)</f>
        <v>0</v>
      </c>
      <c r="AX18" s="256">
        <f>IF(AND(AX$2&gt;='Assumptions '!$G44,'Pro Forma'!AX$2&lt;='Assumptions '!$H44),('Assumptions '!$C44)*(1+'Assumptions '!$F$44)^('Pro Forma'!AX$2-'Pro Forma'!$O$2),0)</f>
        <v>0</v>
      </c>
      <c r="AY18" s="256">
        <f>IF(AND(AY$2&gt;='Assumptions '!$G44,'Pro Forma'!AY$2&lt;='Assumptions '!$H44),('Assumptions '!$C44)*(1+'Assumptions '!$F$44)^('Pro Forma'!AY$2-'Pro Forma'!$O$2),0)</f>
        <v>0</v>
      </c>
      <c r="AZ18" s="256">
        <f>IF(AND(AZ$2&gt;='Assumptions '!$G44,'Pro Forma'!AZ$2&lt;='Assumptions '!$H44),('Assumptions '!$C44)*(1+'Assumptions '!$F$44)^('Pro Forma'!AZ$2-'Pro Forma'!$O$2),0)</f>
        <v>0</v>
      </c>
      <c r="BA18" s="256">
        <f>IF(AND(BA$2&gt;='Assumptions '!$G44,'Pro Forma'!BA$2&lt;='Assumptions '!$H44),('Assumptions '!$C44)*(1+'Assumptions '!$F$44)^('Pro Forma'!BA$2-'Pro Forma'!$O$2),0)</f>
        <v>0</v>
      </c>
      <c r="BB18" s="256">
        <f>IF(AND(BB$2&gt;='Assumptions '!$G44,'Pro Forma'!BB$2&lt;='Assumptions '!$H44),('Assumptions '!$C44)*(1+'Assumptions '!$F$44)^('Pro Forma'!BB$2-'Pro Forma'!$O$2),0)</f>
        <v>0</v>
      </c>
      <c r="BC18" s="256">
        <f>IF(AND(BC$2&gt;='Assumptions '!$G44,'Pro Forma'!BC$2&lt;='Assumptions '!$H44),('Assumptions '!$C44)*(1+'Assumptions '!$F$44)^('Pro Forma'!BC$2-'Pro Forma'!$O$2),0)</f>
        <v>0</v>
      </c>
      <c r="BD18" s="256">
        <f>IF(AND(BD$2&gt;='Assumptions '!$G44,'Pro Forma'!BD$2&lt;='Assumptions '!$H44),('Assumptions '!$C44)*(1+'Assumptions '!$F$44)^('Pro Forma'!BD$2-'Pro Forma'!$O$2),0)</f>
        <v>0</v>
      </c>
      <c r="BE18" s="256">
        <f>IF(AND(BE$2&gt;='Assumptions '!$G44,'Pro Forma'!BE$2&lt;='Assumptions '!$H44),('Assumptions '!$C44)*(1+'Assumptions '!$F$44)^('Pro Forma'!BE$2-'Pro Forma'!$O$2),0)</f>
        <v>0</v>
      </c>
      <c r="BF18" s="256">
        <f>IF(AND(BF$2&gt;='Assumptions '!$G44,'Pro Forma'!BF$2&lt;='Assumptions '!$H44),('Assumptions '!$C44)*(1+'Assumptions '!$F$44)^('Pro Forma'!BF$2-'Pro Forma'!$O$2),0)</f>
        <v>0</v>
      </c>
      <c r="BG18" s="256">
        <f>IF(AND(BG$2&gt;='Assumptions '!$G44,'Pro Forma'!BG$2&lt;='Assumptions '!$H44),('Assumptions '!$C44)*(1+'Assumptions '!$F$44)^('Pro Forma'!BG$2-'Pro Forma'!$O$2),0)</f>
        <v>0</v>
      </c>
      <c r="BH18" s="256">
        <f>IF(AND(BH$2&gt;='Assumptions '!$G44,'Pro Forma'!BH$2&lt;='Assumptions '!$H44),('Assumptions '!$C44)*(1+'Assumptions '!$F$44)^('Pro Forma'!BH$2-'Pro Forma'!$O$2),0)</f>
        <v>0</v>
      </c>
      <c r="BI18" s="256">
        <f>IF(AND(BI$2&gt;='Assumptions '!$G44,'Pro Forma'!BI$2&lt;='Assumptions '!$H44),('Assumptions '!$C44)*(1+'Assumptions '!$F$44)^('Pro Forma'!BI$2-'Pro Forma'!$O$2),0)</f>
        <v>0</v>
      </c>
      <c r="BJ18" s="256">
        <f>IF(AND(BJ$2&gt;='Assumptions '!$G44,'Pro Forma'!BJ$2&lt;='Assumptions '!$H44),('Assumptions '!$C44)*(1+'Assumptions '!$F$44)^('Pro Forma'!BJ$2-'Pro Forma'!$O$2),0)</f>
        <v>0</v>
      </c>
      <c r="BK18" s="256">
        <f>IF(AND(BK$2&gt;='Assumptions '!$G44,'Pro Forma'!BK$2&lt;='Assumptions '!$H44),('Assumptions '!$C44)*(1+'Assumptions '!$F$44)^('Pro Forma'!BK$2-'Pro Forma'!$O$2),0)</f>
        <v>0</v>
      </c>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row>
    <row r="19" spans="1:168" s="132" customFormat="1" ht="15.75">
      <c r="A19" s="124" t="str">
        <f>'Assumptions '!B45</f>
        <v>Business Rate</v>
      </c>
      <c r="B19" s="255"/>
      <c r="C19" s="255"/>
      <c r="D19" s="255"/>
      <c r="E19" s="255"/>
      <c r="F19" s="255"/>
      <c r="G19" s="255"/>
      <c r="H19" s="255"/>
      <c r="I19" s="255"/>
      <c r="J19" s="255"/>
      <c r="K19" s="255"/>
      <c r="L19" s="255"/>
      <c r="M19" s="255"/>
      <c r="N19" s="255"/>
      <c r="O19" s="256">
        <f>IF(AND(O$2&gt;='Assumptions '!$G45,'Pro Forma'!O$2&lt;='Assumptions '!$H45),('Assumptions '!$C45)*(1+'Assumptions '!$F$45)^('Pro Forma'!O$2-'Pro Forma'!$O$2),0)</f>
        <v>951.9</v>
      </c>
      <c r="P19" s="255"/>
      <c r="Q19" s="255"/>
      <c r="R19" s="255"/>
      <c r="S19" s="255"/>
      <c r="T19" s="255"/>
      <c r="U19" s="255"/>
      <c r="V19" s="255"/>
      <c r="W19" s="255"/>
      <c r="X19" s="255"/>
      <c r="Y19" s="255"/>
      <c r="Z19" s="255"/>
      <c r="AA19" s="255"/>
      <c r="AB19" s="256">
        <f>IF(AND(AB$2&gt;='Assumptions '!$G45,'Pro Forma'!AB$2&lt;='Assumptions '!$H45),('Assumptions '!$C45)*(1+'Assumptions '!$F$45)^('Pro Forma'!AB$2-'Pro Forma'!$O$2),0)</f>
        <v>970.938</v>
      </c>
      <c r="AC19" s="255"/>
      <c r="AD19" s="255"/>
      <c r="AE19" s="255"/>
      <c r="AF19" s="255"/>
      <c r="AG19" s="255"/>
      <c r="AH19" s="255"/>
      <c r="AI19" s="255"/>
      <c r="AJ19" s="255"/>
      <c r="AK19" s="255"/>
      <c r="AL19" s="255"/>
      <c r="AM19" s="255"/>
      <c r="AN19" s="255"/>
      <c r="AO19" s="256">
        <f>IF(AND(AO$2&gt;='Assumptions '!$G45,'Pro Forma'!AO$2&lt;='Assumptions '!$H45),('Assumptions '!$C45)*(1+'Assumptions '!$F$45)^('Pro Forma'!AO$2-'Pro Forma'!$O$2),0)</f>
        <v>990.35676</v>
      </c>
      <c r="AP19" s="256">
        <f>IF(AND(AP$2&gt;='Assumptions '!$G45,'Pro Forma'!AP$2&lt;='Assumptions '!$H45),('Assumptions '!$C45)*(1+'Assumptions '!$F$45)^('Pro Forma'!AP$2-'Pro Forma'!$O$2),0)</f>
        <v>1010.1638952</v>
      </c>
      <c r="AQ19" s="256">
        <f>IF(AND(AQ$2&gt;='Assumptions '!$G45,'Pro Forma'!AQ$2&lt;='Assumptions '!$H45),('Assumptions '!$C45)*(1+'Assumptions '!$F$45)^('Pro Forma'!AQ$2-'Pro Forma'!$O$2),0)</f>
        <v>1030.367173104</v>
      </c>
      <c r="AR19" s="256">
        <f>IF(AND(AR$2&gt;='Assumptions '!$G45,'Pro Forma'!AR$2&lt;='Assumptions '!$H45),('Assumptions '!$C45)*(1+'Assumptions '!$F$45)^('Pro Forma'!AR$2-'Pro Forma'!$O$2),0)</f>
        <v>1050.97451656608</v>
      </c>
      <c r="AS19" s="256">
        <f>IF(AND(AS$2&gt;='Assumptions '!$G45,'Pro Forma'!AS$2&lt;='Assumptions '!$H45),('Assumptions '!$C45)*(1+'Assumptions '!$F$45)^('Pro Forma'!AS$2-'Pro Forma'!$O$2),0)</f>
        <v>1071.9940068974017</v>
      </c>
      <c r="AT19" s="256">
        <f>IF(AND(AT$2&gt;='Assumptions '!$G45,'Pro Forma'!AT$2&lt;='Assumptions '!$H45),('Assumptions '!$C45)*(1+'Assumptions '!$F$45)^('Pro Forma'!AT$2-'Pro Forma'!$O$2),0)</f>
        <v>1093.4338870353495</v>
      </c>
      <c r="AU19" s="256">
        <f>IF(AND(AU$2&gt;='Assumptions '!$G45,'Pro Forma'!AU$2&lt;='Assumptions '!$H45),('Assumptions '!$C45)*(1+'Assumptions '!$F$45)^('Pro Forma'!AU$2-'Pro Forma'!$O$2),0)</f>
        <v>1115.3025647760564</v>
      </c>
      <c r="AV19" s="256">
        <f>IF(AND(AV$2&gt;='Assumptions '!$G45,'Pro Forma'!AV$2&lt;='Assumptions '!$H45),('Assumptions '!$C45)*(1+'Assumptions '!$F$45)^('Pro Forma'!AV$2-'Pro Forma'!$O$2),0)</f>
        <v>1137.6086160715777</v>
      </c>
      <c r="AW19" s="256">
        <f>IF(AND(AW$2&gt;='Assumptions '!$G45,'Pro Forma'!AW$2&lt;='Assumptions '!$H45),('Assumptions '!$C45)*(1+'Assumptions '!$F$45)^('Pro Forma'!AW$2-'Pro Forma'!$O$2),0)</f>
        <v>1160.3607883930092</v>
      </c>
      <c r="AX19" s="256">
        <f>IF(AND(AX$2&gt;='Assumptions '!$G45,'Pro Forma'!AX$2&lt;='Assumptions '!$H45),('Assumptions '!$C45)*(1+'Assumptions '!$F$45)^('Pro Forma'!AX$2-'Pro Forma'!$O$2),0)</f>
        <v>1183.5680041608691</v>
      </c>
      <c r="AY19" s="256">
        <f>IF(AND(AY$2&gt;='Assumptions '!$G45,'Pro Forma'!AY$2&lt;='Assumptions '!$H45),('Assumptions '!$C45)*(1+'Assumptions '!$F$45)^('Pro Forma'!AY$2-'Pro Forma'!$O$2),0)</f>
        <v>1207.2393642440868</v>
      </c>
      <c r="AZ19" s="256">
        <f>IF(AND(AZ$2&gt;='Assumptions '!$G45,'Pro Forma'!AZ$2&lt;='Assumptions '!$H45),('Assumptions '!$C45)*(1+'Assumptions '!$F$45)^('Pro Forma'!AZ$2-'Pro Forma'!$O$2),0)</f>
        <v>1231.3841515289685</v>
      </c>
      <c r="BA19" s="256">
        <f>IF(AND(BA$2&gt;='Assumptions '!$G45,'Pro Forma'!BA$2&lt;='Assumptions '!$H45),('Assumptions '!$C45)*(1+'Assumptions '!$F$45)^('Pro Forma'!BA$2-'Pro Forma'!$O$2),0)</f>
        <v>1256.0118345595479</v>
      </c>
      <c r="BB19" s="256">
        <f>IF(AND(BB$2&gt;='Assumptions '!$G45,'Pro Forma'!BB$2&lt;='Assumptions '!$H45),('Assumptions '!$C45)*(1+'Assumptions '!$F$45)^('Pro Forma'!BB$2-'Pro Forma'!$O$2),0)</f>
        <v>1281.1320712507386</v>
      </c>
      <c r="BC19" s="256">
        <f>IF(AND(BC$2&gt;='Assumptions '!$G45,'Pro Forma'!BC$2&lt;='Assumptions '!$H45),('Assumptions '!$C45)*(1+'Assumptions '!$F$45)^('Pro Forma'!BC$2-'Pro Forma'!$O$2),0)</f>
        <v>1306.7547126757536</v>
      </c>
      <c r="BD19" s="256">
        <f>IF(AND(BD$2&gt;='Assumptions '!$G45,'Pro Forma'!BD$2&lt;='Assumptions '!$H45),('Assumptions '!$C45)*(1+'Assumptions '!$F$45)^('Pro Forma'!BD$2-'Pro Forma'!$O$2),0)</f>
        <v>1332.8898069292688</v>
      </c>
      <c r="BE19" s="256">
        <f>IF(AND(BE$2&gt;='Assumptions '!$G45,'Pro Forma'!BE$2&lt;='Assumptions '!$H45),('Assumptions '!$C45)*(1+'Assumptions '!$F$45)^('Pro Forma'!BE$2-'Pro Forma'!$O$2),0)</f>
        <v>1359.547603067854</v>
      </c>
      <c r="BF19" s="256">
        <f>IF(AND(BF$2&gt;='Assumptions '!$G45,'Pro Forma'!BF$2&lt;='Assumptions '!$H45),('Assumptions '!$C45)*(1+'Assumptions '!$F$45)^('Pro Forma'!BF$2-'Pro Forma'!$O$2),0)</f>
        <v>1386.738555129211</v>
      </c>
      <c r="BG19" s="256">
        <f>IF(AND(BG$2&gt;='Assumptions '!$G45,'Pro Forma'!BG$2&lt;='Assumptions '!$H45),('Assumptions '!$C45)*(1+'Assumptions '!$F$45)^('Pro Forma'!BG$2-'Pro Forma'!$O$2),0)</f>
        <v>1414.4733262317955</v>
      </c>
      <c r="BH19" s="256">
        <f>IF(AND(BH$2&gt;='Assumptions '!$G45,'Pro Forma'!BH$2&lt;='Assumptions '!$H45),('Assumptions '!$C45)*(1+'Assumptions '!$F$45)^('Pro Forma'!BH$2-'Pro Forma'!$O$2),0)</f>
        <v>1442.762792756431</v>
      </c>
      <c r="BI19" s="256">
        <f>IF(AND(BI$2&gt;='Assumptions '!$G45,'Pro Forma'!BI$2&lt;='Assumptions '!$H45),('Assumptions '!$C45)*(1+'Assumptions '!$F$45)^('Pro Forma'!BI$2-'Pro Forma'!$O$2),0)</f>
        <v>1471.61804861156</v>
      </c>
      <c r="BJ19" s="256">
        <f>IF(AND(BJ$2&gt;='Assumptions '!$G45,'Pro Forma'!BJ$2&lt;='Assumptions '!$H45),('Assumptions '!$C45)*(1+'Assumptions '!$F$45)^('Pro Forma'!BJ$2-'Pro Forma'!$O$2),0)</f>
        <v>1501.0504095837907</v>
      </c>
      <c r="BK19" s="256">
        <f>IF(AND(BK$2&gt;='Assumptions '!$G45,'Pro Forma'!BK$2&lt;='Assumptions '!$H45),('Assumptions '!$C45)*(1+'Assumptions '!$F$45)^('Pro Forma'!BK$2-'Pro Forma'!$O$2),0)</f>
        <v>1531.0714177754667</v>
      </c>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row>
    <row r="20" spans="1:168" s="132" customFormat="1" ht="15.75">
      <c r="A20" s="124" t="str">
        <f>'Assumptions '!B46</f>
        <v>Admin/Financial/Legal</v>
      </c>
      <c r="B20" s="255"/>
      <c r="C20" s="255">
        <f t="shared" si="17"/>
        <v>19.83125</v>
      </c>
      <c r="D20" s="255">
        <f t="shared" si="17"/>
        <v>19.83125</v>
      </c>
      <c r="E20" s="255">
        <f t="shared" si="17"/>
        <v>19.83125</v>
      </c>
      <c r="F20" s="255">
        <f t="shared" si="17"/>
        <v>19.83125</v>
      </c>
      <c r="G20" s="255">
        <f t="shared" si="17"/>
        <v>19.83125</v>
      </c>
      <c r="H20" s="255">
        <f t="shared" si="17"/>
        <v>19.83125</v>
      </c>
      <c r="I20" s="255">
        <f t="shared" si="17"/>
        <v>19.83125</v>
      </c>
      <c r="J20" s="255">
        <f t="shared" si="17"/>
        <v>19.83125</v>
      </c>
      <c r="K20" s="255">
        <f t="shared" si="17"/>
        <v>19.83125</v>
      </c>
      <c r="L20" s="255">
        <f t="shared" si="17"/>
        <v>19.83125</v>
      </c>
      <c r="M20" s="255">
        <f t="shared" si="17"/>
        <v>19.83125</v>
      </c>
      <c r="N20" s="255">
        <f t="shared" si="17"/>
        <v>19.83125</v>
      </c>
      <c r="O20" s="256">
        <f>IF(AND(O$2&gt;='Assumptions '!$G46,'Pro Forma'!O$2&lt;='Assumptions '!$H46),('Assumptions '!$C46)*(1+'Assumptions '!$F$43)^('Pro Forma'!O$2-'Pro Forma'!$O$2),0)</f>
        <v>237.975</v>
      </c>
      <c r="P20" s="255">
        <f t="shared" si="18"/>
        <v>20.227875</v>
      </c>
      <c r="Q20" s="255">
        <f t="shared" si="18"/>
        <v>20.227875</v>
      </c>
      <c r="R20" s="255">
        <f t="shared" si="18"/>
        <v>20.227875</v>
      </c>
      <c r="S20" s="255">
        <f t="shared" si="18"/>
        <v>20.227875</v>
      </c>
      <c r="T20" s="255">
        <f t="shared" si="18"/>
        <v>20.227875</v>
      </c>
      <c r="U20" s="255">
        <f t="shared" si="18"/>
        <v>20.227875</v>
      </c>
      <c r="V20" s="255">
        <f t="shared" si="18"/>
        <v>20.227875</v>
      </c>
      <c r="W20" s="255">
        <f t="shared" si="18"/>
        <v>20.227875</v>
      </c>
      <c r="X20" s="255">
        <f t="shared" si="18"/>
        <v>20.227875</v>
      </c>
      <c r="Y20" s="255">
        <f t="shared" si="18"/>
        <v>20.227875</v>
      </c>
      <c r="Z20" s="255">
        <f t="shared" si="18"/>
        <v>20.227875</v>
      </c>
      <c r="AA20" s="255">
        <f t="shared" si="18"/>
        <v>20.227875</v>
      </c>
      <c r="AB20" s="256">
        <f>IF(AND(AB$2&gt;='Assumptions '!$G46,'Pro Forma'!AB$2&lt;='Assumptions '!$H46),('Assumptions '!$C46)*(1+'Assumptions '!$F$43)^('Pro Forma'!AB$2-'Pro Forma'!$O$2),0)</f>
        <v>242.7345</v>
      </c>
      <c r="AC20" s="255">
        <f t="shared" si="19"/>
        <v>20.6324325</v>
      </c>
      <c r="AD20" s="255">
        <f t="shared" si="19"/>
        <v>20.6324325</v>
      </c>
      <c r="AE20" s="255">
        <f t="shared" si="19"/>
        <v>20.6324325</v>
      </c>
      <c r="AF20" s="255">
        <f t="shared" si="19"/>
        <v>20.6324325</v>
      </c>
      <c r="AG20" s="255">
        <f t="shared" si="19"/>
        <v>20.6324325</v>
      </c>
      <c r="AH20" s="255">
        <f t="shared" si="19"/>
        <v>20.6324325</v>
      </c>
      <c r="AI20" s="255">
        <f t="shared" si="19"/>
        <v>20.6324325</v>
      </c>
      <c r="AJ20" s="255">
        <f t="shared" si="19"/>
        <v>20.6324325</v>
      </c>
      <c r="AK20" s="255">
        <f t="shared" si="19"/>
        <v>20.6324325</v>
      </c>
      <c r="AL20" s="255">
        <f t="shared" si="19"/>
        <v>20.6324325</v>
      </c>
      <c r="AM20" s="255">
        <f t="shared" si="19"/>
        <v>20.6324325</v>
      </c>
      <c r="AN20" s="255">
        <f t="shared" si="19"/>
        <v>20.6324325</v>
      </c>
      <c r="AO20" s="256">
        <f>IF(AND(AO$2&gt;='Assumptions '!$G46,'Pro Forma'!AO$2&lt;='Assumptions '!$H46),('Assumptions '!$C46)*(1+'Assumptions '!$F$43)^('Pro Forma'!AO$2-'Pro Forma'!$O$2),0)</f>
        <v>247.58919</v>
      </c>
      <c r="AP20" s="256">
        <f>IF(AND(AP$2&gt;='Assumptions '!$G46,'Pro Forma'!AP$2&lt;='Assumptions '!$H46),('Assumptions '!$C46)*(1+'Assumptions '!$F$43)^('Pro Forma'!AP$2-'Pro Forma'!$O$2),0)</f>
        <v>252.5409738</v>
      </c>
      <c r="AQ20" s="256">
        <f>IF(AND(AQ$2&gt;='Assumptions '!$G46,'Pro Forma'!AQ$2&lt;='Assumptions '!$H46),('Assumptions '!$C46)*(1+'Assumptions '!$F$43)^('Pro Forma'!AQ$2-'Pro Forma'!$O$2),0)</f>
        <v>257.591793276</v>
      </c>
      <c r="AR20" s="256">
        <f>IF(AND(AR$2&gt;='Assumptions '!$G46,'Pro Forma'!AR$2&lt;='Assumptions '!$H46),('Assumptions '!$C46)*(1+'Assumptions '!$F$43)^('Pro Forma'!AR$2-'Pro Forma'!$O$2),0)</f>
        <v>262.74362914152</v>
      </c>
      <c r="AS20" s="256">
        <f>IF(AND(AS$2&gt;='Assumptions '!$G46,'Pro Forma'!AS$2&lt;='Assumptions '!$H46),('Assumptions '!$C46)*(1+'Assumptions '!$F$43)^('Pro Forma'!AS$2-'Pro Forma'!$O$2),0)</f>
        <v>267.99850172435043</v>
      </c>
      <c r="AT20" s="256">
        <f>IF(AND(AT$2&gt;='Assumptions '!$G46,'Pro Forma'!AT$2&lt;='Assumptions '!$H46),('Assumptions '!$C46)*(1+'Assumptions '!$F$43)^('Pro Forma'!AT$2-'Pro Forma'!$O$2),0)</f>
        <v>273.35847175883737</v>
      </c>
      <c r="AU20" s="256">
        <f>IF(AND(AU$2&gt;='Assumptions '!$G46,'Pro Forma'!AU$2&lt;='Assumptions '!$H46),('Assumptions '!$C46)*(1+'Assumptions '!$F$43)^('Pro Forma'!AU$2-'Pro Forma'!$O$2),0)</f>
        <v>278.8256411940141</v>
      </c>
      <c r="AV20" s="256">
        <f>IF(AND(AV$2&gt;='Assumptions '!$G46,'Pro Forma'!AV$2&lt;='Assumptions '!$H46),('Assumptions '!$C46)*(1+'Assumptions '!$F$43)^('Pro Forma'!AV$2-'Pro Forma'!$O$2),0)</f>
        <v>284.4021540178944</v>
      </c>
      <c r="AW20" s="256">
        <f>IF(AND(AW$2&gt;='Assumptions '!$G46,'Pro Forma'!AW$2&lt;='Assumptions '!$H46),('Assumptions '!$C46)*(1+'Assumptions '!$F$43)^('Pro Forma'!AW$2-'Pro Forma'!$O$2),0)</f>
        <v>290.0901970982523</v>
      </c>
      <c r="AX20" s="256">
        <f>IF(AND(AX$2&gt;='Assumptions '!$G46,'Pro Forma'!AX$2&lt;='Assumptions '!$H46),('Assumptions '!$C46)*(1+'Assumptions '!$F$43)^('Pro Forma'!AX$2-'Pro Forma'!$O$2),0)</f>
        <v>295.8920010402173</v>
      </c>
      <c r="AY20" s="256">
        <f>IF(AND(AY$2&gt;='Assumptions '!$G46,'Pro Forma'!AY$2&lt;='Assumptions '!$H46),('Assumptions '!$C46)*(1+'Assumptions '!$F$43)^('Pro Forma'!AY$2-'Pro Forma'!$O$2),0)</f>
        <v>301.8098410610217</v>
      </c>
      <c r="AZ20" s="256">
        <f>IF(AND(AZ$2&gt;='Assumptions '!$G46,'Pro Forma'!AZ$2&lt;='Assumptions '!$H46),('Assumptions '!$C46)*(1+'Assumptions '!$F$43)^('Pro Forma'!AZ$2-'Pro Forma'!$O$2),0)</f>
        <v>307.8460378822421</v>
      </c>
      <c r="BA20" s="256">
        <f>IF(AND(BA$2&gt;='Assumptions '!$G46,'Pro Forma'!BA$2&lt;='Assumptions '!$H46),('Assumptions '!$C46)*(1+'Assumptions '!$F$43)^('Pro Forma'!BA$2-'Pro Forma'!$O$2),0)</f>
        <v>314.00295863988697</v>
      </c>
      <c r="BB20" s="256">
        <f>IF(AND(BB$2&gt;='Assumptions '!$G46,'Pro Forma'!BB$2&lt;='Assumptions '!$H46),('Assumptions '!$C46)*(1+'Assumptions '!$F$43)^('Pro Forma'!BB$2-'Pro Forma'!$O$2),0)</f>
        <v>320.28301781268465</v>
      </c>
      <c r="BC20" s="256">
        <f>IF(AND(BC$2&gt;='Assumptions '!$G46,'Pro Forma'!BC$2&lt;='Assumptions '!$H46),('Assumptions '!$C46)*(1+'Assumptions '!$F$43)^('Pro Forma'!BC$2-'Pro Forma'!$O$2),0)</f>
        <v>326.6886781689384</v>
      </c>
      <c r="BD20" s="256">
        <f>IF(AND(BD$2&gt;='Assumptions '!$G46,'Pro Forma'!BD$2&lt;='Assumptions '!$H46),('Assumptions '!$C46)*(1+'Assumptions '!$F$43)^('Pro Forma'!BD$2-'Pro Forma'!$O$2),0)</f>
        <v>333.2224517323172</v>
      </c>
      <c r="BE20" s="256">
        <f>IF(AND(BE$2&gt;='Assumptions '!$G46,'Pro Forma'!BE$2&lt;='Assumptions '!$H46),('Assumptions '!$C46)*(1+'Assumptions '!$F$43)^('Pro Forma'!BE$2-'Pro Forma'!$O$2),0)</f>
        <v>339.8869007669635</v>
      </c>
      <c r="BF20" s="256">
        <f>IF(AND(BF$2&gt;='Assumptions '!$G46,'Pro Forma'!BF$2&lt;='Assumptions '!$H46),('Assumptions '!$C46)*(1+'Assumptions '!$F$43)^('Pro Forma'!BF$2-'Pro Forma'!$O$2),0)</f>
        <v>346.6846387823027</v>
      </c>
      <c r="BG20" s="256">
        <f>IF(AND(BG$2&gt;='Assumptions '!$G46,'Pro Forma'!BG$2&lt;='Assumptions '!$H46),('Assumptions '!$C46)*(1+'Assumptions '!$F$43)^('Pro Forma'!BG$2-'Pro Forma'!$O$2),0)</f>
        <v>353.61833155794886</v>
      </c>
      <c r="BH20" s="256">
        <f>IF(AND(BH$2&gt;='Assumptions '!$G46,'Pro Forma'!BH$2&lt;='Assumptions '!$H46),('Assumptions '!$C46)*(1+'Assumptions '!$F$43)^('Pro Forma'!BH$2-'Pro Forma'!$O$2),0)</f>
        <v>360.69069818910776</v>
      </c>
      <c r="BI20" s="256">
        <f>IF(AND(BI$2&gt;='Assumptions '!$G46,'Pro Forma'!BI$2&lt;='Assumptions '!$H46),('Assumptions '!$C46)*(1+'Assumptions '!$F$43)^('Pro Forma'!BI$2-'Pro Forma'!$O$2),0)</f>
        <v>367.90451215289</v>
      </c>
      <c r="BJ20" s="256">
        <f>IF(AND(BJ$2&gt;='Assumptions '!$G46,'Pro Forma'!BJ$2&lt;='Assumptions '!$H46),('Assumptions '!$C46)*(1+'Assumptions '!$F$43)^('Pro Forma'!BJ$2-'Pro Forma'!$O$2),0)</f>
        <v>375.2626023959477</v>
      </c>
      <c r="BK20" s="256">
        <f>IF(AND(BK$2&gt;='Assumptions '!$G46,'Pro Forma'!BK$2&lt;='Assumptions '!$H46),('Assumptions '!$C46)*(1+'Assumptions '!$F$43)^('Pro Forma'!BK$2-'Pro Forma'!$O$2),0)</f>
        <v>382.76785444386667</v>
      </c>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row>
    <row r="21" spans="1:168" s="132" customFormat="1" ht="15.75">
      <c r="A21" s="124" t="str">
        <f>'Assumptions '!B47</f>
        <v>Bird Studies (First 3 years Only)</v>
      </c>
      <c r="B21" s="255"/>
      <c r="C21" s="255">
        <f t="shared" si="17"/>
        <v>0</v>
      </c>
      <c r="D21" s="255">
        <f t="shared" si="17"/>
        <v>0</v>
      </c>
      <c r="E21" s="255">
        <f t="shared" si="17"/>
        <v>0</v>
      </c>
      <c r="F21" s="255">
        <f t="shared" si="17"/>
        <v>0</v>
      </c>
      <c r="G21" s="255">
        <f t="shared" si="17"/>
        <v>0</v>
      </c>
      <c r="H21" s="255">
        <f t="shared" si="17"/>
        <v>0</v>
      </c>
      <c r="I21" s="255">
        <f t="shared" si="17"/>
        <v>0</v>
      </c>
      <c r="J21" s="255">
        <f t="shared" si="17"/>
        <v>0</v>
      </c>
      <c r="K21" s="255">
        <f t="shared" si="17"/>
        <v>0</v>
      </c>
      <c r="L21" s="255">
        <f t="shared" si="17"/>
        <v>0</v>
      </c>
      <c r="M21" s="255">
        <f t="shared" si="17"/>
        <v>0</v>
      </c>
      <c r="N21" s="255">
        <f t="shared" si="17"/>
        <v>0</v>
      </c>
      <c r="O21" s="256">
        <f>IF(AND(O$2&gt;='Assumptions '!$G47,'Pro Forma'!O$2&lt;='Assumptions '!$H47),('Assumptions '!$C47)*(1+'Assumptions '!$F$43)^('Pro Forma'!O$2-'Pro Forma'!$O$2),0)</f>
        <v>0</v>
      </c>
      <c r="P21" s="255">
        <f t="shared" si="18"/>
        <v>0</v>
      </c>
      <c r="Q21" s="255">
        <f t="shared" si="18"/>
        <v>0</v>
      </c>
      <c r="R21" s="255">
        <f t="shared" si="18"/>
        <v>0</v>
      </c>
      <c r="S21" s="255">
        <f t="shared" si="18"/>
        <v>0</v>
      </c>
      <c r="T21" s="255">
        <f t="shared" si="18"/>
        <v>0</v>
      </c>
      <c r="U21" s="255">
        <f t="shared" si="18"/>
        <v>0</v>
      </c>
      <c r="V21" s="255">
        <f t="shared" si="18"/>
        <v>0</v>
      </c>
      <c r="W21" s="255">
        <f t="shared" si="18"/>
        <v>0</v>
      </c>
      <c r="X21" s="255">
        <f t="shared" si="18"/>
        <v>0</v>
      </c>
      <c r="Y21" s="255">
        <f t="shared" si="18"/>
        <v>0</v>
      </c>
      <c r="Z21" s="255">
        <f t="shared" si="18"/>
        <v>0</v>
      </c>
      <c r="AA21" s="255">
        <f t="shared" si="18"/>
        <v>0</v>
      </c>
      <c r="AB21" s="256">
        <f>IF(AND(AB$2&gt;='Assumptions '!$G47,'Pro Forma'!AB$2&lt;='Assumptions '!$H47),('Assumptions '!$C47)*(1+'Assumptions '!$F$43)^('Pro Forma'!AB$2-'Pro Forma'!$O$2),0)</f>
        <v>0</v>
      </c>
      <c r="AC21" s="255">
        <f t="shared" si="19"/>
        <v>0</v>
      </c>
      <c r="AD21" s="255">
        <f t="shared" si="19"/>
        <v>0</v>
      </c>
      <c r="AE21" s="255">
        <f t="shared" si="19"/>
        <v>0</v>
      </c>
      <c r="AF21" s="255">
        <f t="shared" si="19"/>
        <v>0</v>
      </c>
      <c r="AG21" s="255">
        <f t="shared" si="19"/>
        <v>0</v>
      </c>
      <c r="AH21" s="255">
        <f t="shared" si="19"/>
        <v>0</v>
      </c>
      <c r="AI21" s="255">
        <f t="shared" si="19"/>
        <v>0</v>
      </c>
      <c r="AJ21" s="255">
        <f t="shared" si="19"/>
        <v>0</v>
      </c>
      <c r="AK21" s="255">
        <f t="shared" si="19"/>
        <v>0</v>
      </c>
      <c r="AL21" s="255">
        <f t="shared" si="19"/>
        <v>0</v>
      </c>
      <c r="AM21" s="255">
        <f t="shared" si="19"/>
        <v>0</v>
      </c>
      <c r="AN21" s="255">
        <f t="shared" si="19"/>
        <v>0</v>
      </c>
      <c r="AO21" s="256">
        <f>IF(AND(AO$2&gt;='Assumptions '!$G47,'Pro Forma'!AO$2&lt;='Assumptions '!$H47),('Assumptions '!$C47)*(1+'Assumptions '!$F$43)^('Pro Forma'!AO$2-'Pro Forma'!$O$2),0)</f>
        <v>0</v>
      </c>
      <c r="AP21" s="256">
        <f>IF(AND(AP$2&gt;='Assumptions '!$G47,'Pro Forma'!AP$2&lt;='Assumptions '!$H47),('Assumptions '!$C47)*(1+'Assumptions '!$F$43)^('Pro Forma'!AP$2-'Pro Forma'!$O$2),0)</f>
        <v>0</v>
      </c>
      <c r="AQ21" s="256">
        <f>IF(AND(AQ$2&gt;='Assumptions '!$G47,'Pro Forma'!AQ$2&lt;='Assumptions '!$H47),('Assumptions '!$C47)*(1+'Assumptions '!$F$43)^('Pro Forma'!AQ$2-'Pro Forma'!$O$2),0)</f>
        <v>0</v>
      </c>
      <c r="AR21" s="256">
        <f>IF(AND(AR$2&gt;='Assumptions '!$G47,'Pro Forma'!AR$2&lt;='Assumptions '!$H47),('Assumptions '!$C47)*(1+'Assumptions '!$F$43)^('Pro Forma'!AR$2-'Pro Forma'!$O$2),0)</f>
        <v>0</v>
      </c>
      <c r="AS21" s="256">
        <f>IF(AND(AS$2&gt;='Assumptions '!$G47,'Pro Forma'!AS$2&lt;='Assumptions '!$H47),('Assumptions '!$C47)*(1+'Assumptions '!$F$43)^('Pro Forma'!AS$2-'Pro Forma'!$O$2),0)</f>
        <v>0</v>
      </c>
      <c r="AT21" s="256">
        <f>IF(AND(AT$2&gt;='Assumptions '!$G47,'Pro Forma'!AT$2&lt;='Assumptions '!$H47),('Assumptions '!$C47)*(1+'Assumptions '!$F$43)^('Pro Forma'!AT$2-'Pro Forma'!$O$2),0)</f>
        <v>0</v>
      </c>
      <c r="AU21" s="256">
        <f>IF(AND(AU$2&gt;='Assumptions '!$G47,'Pro Forma'!AU$2&lt;='Assumptions '!$H47),('Assumptions '!$C47)*(1+'Assumptions '!$F$43)^('Pro Forma'!AU$2-'Pro Forma'!$O$2),0)</f>
        <v>0</v>
      </c>
      <c r="AV21" s="256">
        <f>IF(AND(AV$2&gt;='Assumptions '!$G47,'Pro Forma'!AV$2&lt;='Assumptions '!$H47),('Assumptions '!$C47)*(1+'Assumptions '!$F$43)^('Pro Forma'!AV$2-'Pro Forma'!$O$2),0)</f>
        <v>0</v>
      </c>
      <c r="AW21" s="256">
        <f>IF(AND(AW$2&gt;='Assumptions '!$G47,'Pro Forma'!AW$2&lt;='Assumptions '!$H47),('Assumptions '!$C47)*(1+'Assumptions '!$F$43)^('Pro Forma'!AW$2-'Pro Forma'!$O$2),0)</f>
        <v>0</v>
      </c>
      <c r="AX21" s="256">
        <f>IF(AND(AX$2&gt;='Assumptions '!$G47,'Pro Forma'!AX$2&lt;='Assumptions '!$H47),('Assumptions '!$C47)*(1+'Assumptions '!$F$43)^('Pro Forma'!AX$2-'Pro Forma'!$O$2),0)</f>
        <v>0</v>
      </c>
      <c r="AY21" s="256">
        <f>IF(AND(AY$2&gt;='Assumptions '!$G47,'Pro Forma'!AY$2&lt;='Assumptions '!$H47),('Assumptions '!$C47)*(1+'Assumptions '!$F$43)^('Pro Forma'!AY$2-'Pro Forma'!$O$2),0)</f>
        <v>0</v>
      </c>
      <c r="AZ21" s="256">
        <f>IF(AND(AZ$2&gt;='Assumptions '!$G47,'Pro Forma'!AZ$2&lt;='Assumptions '!$H47),('Assumptions '!$C47)*(1+'Assumptions '!$F$43)^('Pro Forma'!AZ$2-'Pro Forma'!$O$2),0)</f>
        <v>0</v>
      </c>
      <c r="BA21" s="256">
        <f>IF(AND(BA$2&gt;='Assumptions '!$G47,'Pro Forma'!BA$2&lt;='Assumptions '!$H47),('Assumptions '!$C47)*(1+'Assumptions '!$F$43)^('Pro Forma'!BA$2-'Pro Forma'!$O$2),0)</f>
        <v>0</v>
      </c>
      <c r="BB21" s="256">
        <f>IF(AND(BB$2&gt;='Assumptions '!$G47,'Pro Forma'!BB$2&lt;='Assumptions '!$H47),('Assumptions '!$C47)*(1+'Assumptions '!$F$43)^('Pro Forma'!BB$2-'Pro Forma'!$O$2),0)</f>
        <v>0</v>
      </c>
      <c r="BC21" s="256">
        <f>IF(AND(BC$2&gt;='Assumptions '!$G47,'Pro Forma'!BC$2&lt;='Assumptions '!$H47),('Assumptions '!$C47)*(1+'Assumptions '!$F$43)^('Pro Forma'!BC$2-'Pro Forma'!$O$2),0)</f>
        <v>0</v>
      </c>
      <c r="BD21" s="256">
        <f>IF(AND(BD$2&gt;='Assumptions '!$G47,'Pro Forma'!BD$2&lt;='Assumptions '!$H47),('Assumptions '!$C47)*(1+'Assumptions '!$F$43)^('Pro Forma'!BD$2-'Pro Forma'!$O$2),0)</f>
        <v>0</v>
      </c>
      <c r="BE21" s="256">
        <f>IF(AND(BE$2&gt;='Assumptions '!$G47,'Pro Forma'!BE$2&lt;='Assumptions '!$H47),('Assumptions '!$C47)*(1+'Assumptions '!$F$43)^('Pro Forma'!BE$2-'Pro Forma'!$O$2),0)</f>
        <v>0</v>
      </c>
      <c r="BF21" s="256">
        <f>IF(AND(BF$2&gt;='Assumptions '!$G47,'Pro Forma'!BF$2&lt;='Assumptions '!$H47),('Assumptions '!$C47)*(1+'Assumptions '!$F$43)^('Pro Forma'!BF$2-'Pro Forma'!$O$2),0)</f>
        <v>0</v>
      </c>
      <c r="BG21" s="256">
        <f>IF(AND(BG$2&gt;='Assumptions '!$G47,'Pro Forma'!BG$2&lt;='Assumptions '!$H47),('Assumptions '!$C47)*(1+'Assumptions '!$F$43)^('Pro Forma'!BG$2-'Pro Forma'!$O$2),0)</f>
        <v>0</v>
      </c>
      <c r="BH21" s="256">
        <f>IF(AND(BH$2&gt;='Assumptions '!$G47,'Pro Forma'!BH$2&lt;='Assumptions '!$H47),('Assumptions '!$C47)*(1+'Assumptions '!$F$43)^('Pro Forma'!BH$2-'Pro Forma'!$O$2),0)</f>
        <v>0</v>
      </c>
      <c r="BI21" s="256">
        <f>IF(AND(BI$2&gt;='Assumptions '!$G47,'Pro Forma'!BI$2&lt;='Assumptions '!$H47),('Assumptions '!$C47)*(1+'Assumptions '!$F$43)^('Pro Forma'!BI$2-'Pro Forma'!$O$2),0)</f>
        <v>0</v>
      </c>
      <c r="BJ21" s="256">
        <f>IF(AND(BJ$2&gt;='Assumptions '!$G47,'Pro Forma'!BJ$2&lt;='Assumptions '!$H47),('Assumptions '!$C47)*(1+'Assumptions '!$F$43)^('Pro Forma'!BJ$2-'Pro Forma'!$O$2),0)</f>
        <v>0</v>
      </c>
      <c r="BK21" s="256">
        <f>IF(AND(BK$2&gt;='Assumptions '!$G47,'Pro Forma'!BK$2&lt;='Assumptions '!$H47),('Assumptions '!$C47)*(1+'Assumptions '!$F$43)^('Pro Forma'!BK$2-'Pro Forma'!$O$2),0)</f>
        <v>0</v>
      </c>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row>
    <row r="22" spans="1:168" s="132" customFormat="1" ht="15.75">
      <c r="A22" s="124" t="str">
        <f>'Assumptions '!B48</f>
        <v>Extended Warranty</v>
      </c>
      <c r="B22" s="255"/>
      <c r="C22" s="255">
        <f t="shared" si="17"/>
        <v>0</v>
      </c>
      <c r="D22" s="255">
        <f t="shared" si="17"/>
        <v>0</v>
      </c>
      <c r="E22" s="255">
        <f t="shared" si="17"/>
        <v>0</v>
      </c>
      <c r="F22" s="255">
        <f t="shared" si="17"/>
        <v>0</v>
      </c>
      <c r="G22" s="255">
        <f t="shared" si="17"/>
        <v>0</v>
      </c>
      <c r="H22" s="255">
        <f t="shared" si="17"/>
        <v>0</v>
      </c>
      <c r="I22" s="255">
        <f t="shared" si="17"/>
        <v>0</v>
      </c>
      <c r="J22" s="255">
        <f t="shared" si="17"/>
        <v>0</v>
      </c>
      <c r="K22" s="255">
        <f t="shared" si="17"/>
        <v>0</v>
      </c>
      <c r="L22" s="255">
        <f t="shared" si="17"/>
        <v>0</v>
      </c>
      <c r="M22" s="255">
        <f t="shared" si="17"/>
        <v>0</v>
      </c>
      <c r="N22" s="255">
        <f t="shared" si="17"/>
        <v>0</v>
      </c>
      <c r="O22" s="256">
        <f>IF(AND(O$2&gt;='Assumptions '!$G48,'Pro Forma'!O$2&lt;='Assumptions '!$H48),('Assumptions '!$C48)*(1+'Assumptions '!$F$43)^('Pro Forma'!O$2-'Pro Forma'!$O$2),0)</f>
        <v>0</v>
      </c>
      <c r="P22" s="255">
        <f t="shared" si="18"/>
        <v>0</v>
      </c>
      <c r="Q22" s="255">
        <f t="shared" si="18"/>
        <v>0</v>
      </c>
      <c r="R22" s="255">
        <f t="shared" si="18"/>
        <v>0</v>
      </c>
      <c r="S22" s="255">
        <f t="shared" si="18"/>
        <v>0</v>
      </c>
      <c r="T22" s="255">
        <f t="shared" si="18"/>
        <v>0</v>
      </c>
      <c r="U22" s="255">
        <f t="shared" si="18"/>
        <v>0</v>
      </c>
      <c r="V22" s="255">
        <f t="shared" si="18"/>
        <v>0</v>
      </c>
      <c r="W22" s="255">
        <f t="shared" si="18"/>
        <v>0</v>
      </c>
      <c r="X22" s="255">
        <f t="shared" si="18"/>
        <v>0</v>
      </c>
      <c r="Y22" s="255">
        <f t="shared" si="18"/>
        <v>0</v>
      </c>
      <c r="Z22" s="255">
        <f t="shared" si="18"/>
        <v>0</v>
      </c>
      <c r="AA22" s="255">
        <f t="shared" si="18"/>
        <v>0</v>
      </c>
      <c r="AB22" s="256">
        <f>IF(AND(AB$2&gt;='Assumptions '!$G48,'Pro Forma'!AB$2&lt;='Assumptions '!$H48),('Assumptions '!$C48)*(1+'Assumptions '!$F$43)^('Pro Forma'!AB$2-'Pro Forma'!$O$2),0)</f>
        <v>0</v>
      </c>
      <c r="AC22" s="255">
        <f t="shared" si="19"/>
        <v>0</v>
      </c>
      <c r="AD22" s="255">
        <f t="shared" si="19"/>
        <v>0</v>
      </c>
      <c r="AE22" s="255">
        <f t="shared" si="19"/>
        <v>0</v>
      </c>
      <c r="AF22" s="255">
        <f t="shared" si="19"/>
        <v>0</v>
      </c>
      <c r="AG22" s="255">
        <f t="shared" si="19"/>
        <v>0</v>
      </c>
      <c r="AH22" s="255">
        <f t="shared" si="19"/>
        <v>0</v>
      </c>
      <c r="AI22" s="255">
        <f t="shared" si="19"/>
        <v>0</v>
      </c>
      <c r="AJ22" s="255">
        <f t="shared" si="19"/>
        <v>0</v>
      </c>
      <c r="AK22" s="255">
        <f t="shared" si="19"/>
        <v>0</v>
      </c>
      <c r="AL22" s="255">
        <f t="shared" si="19"/>
        <v>0</v>
      </c>
      <c r="AM22" s="255">
        <f t="shared" si="19"/>
        <v>0</v>
      </c>
      <c r="AN22" s="255">
        <f t="shared" si="19"/>
        <v>0</v>
      </c>
      <c r="AO22" s="256">
        <f>IF(AND(AO$2&gt;='Assumptions '!$G48,'Pro Forma'!AO$2&lt;='Assumptions '!$H48),('Assumptions '!$C48)*(1+'Assumptions '!$F$43)^('Pro Forma'!AO$2-'Pro Forma'!$O$2),0)</f>
        <v>0</v>
      </c>
      <c r="AP22" s="256">
        <f>IF(AND(AP$2&gt;='Assumptions '!$G48,'Pro Forma'!AP$2&lt;='Assumptions '!$H48),('Assumptions '!$C48)*(1+'Assumptions '!$F$43)^('Pro Forma'!AP$2-'Pro Forma'!$O$2),0)</f>
        <v>2693.7703871999997</v>
      </c>
      <c r="AQ22" s="256">
        <f>IF(AND(AQ$2&gt;='Assumptions '!$G48,'Pro Forma'!AQ$2&lt;='Assumptions '!$H48),('Assumptions '!$C48)*(1+'Assumptions '!$F$43)^('Pro Forma'!AQ$2-'Pro Forma'!$O$2),0)</f>
        <v>2747.645794944</v>
      </c>
      <c r="AR22" s="256">
        <f>IF(AND(AR$2&gt;='Assumptions '!$G48,'Pro Forma'!AR$2&lt;='Assumptions '!$H48),('Assumptions '!$C48)*(1+'Assumptions '!$F$43)^('Pro Forma'!AR$2-'Pro Forma'!$O$2),0)</f>
        <v>2802.5987108428803</v>
      </c>
      <c r="AS22" s="256">
        <f>IF(AND(AS$2&gt;='Assumptions '!$G48,'Pro Forma'!AS$2&lt;='Assumptions '!$H48),('Assumptions '!$C48)*(1+'Assumptions '!$F$43)^('Pro Forma'!AS$2-'Pro Forma'!$O$2),0)</f>
        <v>2858.650685059738</v>
      </c>
      <c r="AT22" s="256">
        <f>IF(AND(AT$2&gt;='Assumptions '!$G48,'Pro Forma'!AT$2&lt;='Assumptions '!$H48),('Assumptions '!$C48)*(1+'Assumptions '!$F$43)^('Pro Forma'!AT$2-'Pro Forma'!$O$2),0)</f>
        <v>2915.823698760932</v>
      </c>
      <c r="AU22" s="256">
        <f>IF(AND(AU$2&gt;='Assumptions '!$G48,'Pro Forma'!AU$2&lt;='Assumptions '!$H48),('Assumptions '!$C48)*(1+'Assumptions '!$F$43)^('Pro Forma'!AU$2-'Pro Forma'!$O$2),0)</f>
        <v>2974.140172736151</v>
      </c>
      <c r="AV22" s="256">
        <f>IF(AND(AV$2&gt;='Assumptions '!$G48,'Pro Forma'!AV$2&lt;='Assumptions '!$H48),('Assumptions '!$C48)*(1+'Assumptions '!$F$43)^('Pro Forma'!AV$2-'Pro Forma'!$O$2),0)</f>
        <v>3033.622976190874</v>
      </c>
      <c r="AW22" s="256">
        <f>IF(AND(AW$2&gt;='Assumptions '!$G48,'Pro Forma'!AW$2&lt;='Assumptions '!$H48),('Assumptions '!$C48)*(1+'Assumptions '!$F$43)^('Pro Forma'!AW$2-'Pro Forma'!$O$2),0)</f>
        <v>0</v>
      </c>
      <c r="AX22" s="256">
        <f>IF(AND(AX$2&gt;='Assumptions '!$G48,'Pro Forma'!AX$2&lt;='Assumptions '!$H48),('Assumptions '!$C48)*(1+'Assumptions '!$F$43)^('Pro Forma'!AX$2-'Pro Forma'!$O$2),0)</f>
        <v>0</v>
      </c>
      <c r="AY22" s="256">
        <f>IF(AND(AY$2&gt;='Assumptions '!$G48,'Pro Forma'!AY$2&lt;='Assumptions '!$H48),('Assumptions '!$C48)*(1+'Assumptions '!$F$43)^('Pro Forma'!AY$2-'Pro Forma'!$O$2),0)</f>
        <v>0</v>
      </c>
      <c r="AZ22" s="256">
        <f>IF(AND(AZ$2&gt;='Assumptions '!$G48,'Pro Forma'!AZ$2&lt;='Assumptions '!$H48),('Assumptions '!$C48)*(1+'Assumptions '!$F$43)^('Pro Forma'!AZ$2-'Pro Forma'!$O$2),0)</f>
        <v>0</v>
      </c>
      <c r="BA22" s="256">
        <f>IF(AND(BA$2&gt;='Assumptions '!$G48,'Pro Forma'!BA$2&lt;='Assumptions '!$H48),('Assumptions '!$C48)*(1+'Assumptions '!$F$43)^('Pro Forma'!BA$2-'Pro Forma'!$O$2),0)</f>
        <v>0</v>
      </c>
      <c r="BB22" s="256">
        <f>IF(AND(BB$2&gt;='Assumptions '!$G48,'Pro Forma'!BB$2&lt;='Assumptions '!$H48),('Assumptions '!$C48)*(1+'Assumptions '!$F$43)^('Pro Forma'!BB$2-'Pro Forma'!$O$2),0)</f>
        <v>0</v>
      </c>
      <c r="BC22" s="256">
        <f>IF(AND(BC$2&gt;='Assumptions '!$G48,'Pro Forma'!BC$2&lt;='Assumptions '!$H48),('Assumptions '!$C48)*(1+'Assumptions '!$F$43)^('Pro Forma'!BC$2-'Pro Forma'!$O$2),0)</f>
        <v>0</v>
      </c>
      <c r="BD22" s="256">
        <f>IF(AND(BD$2&gt;='Assumptions '!$G48,'Pro Forma'!BD$2&lt;='Assumptions '!$H48),('Assumptions '!$C48)*(1+'Assumptions '!$F$43)^('Pro Forma'!BD$2-'Pro Forma'!$O$2),0)</f>
        <v>0</v>
      </c>
      <c r="BE22" s="256">
        <f>IF(AND(BE$2&gt;='Assumptions '!$G48,'Pro Forma'!BE$2&lt;='Assumptions '!$H48),('Assumptions '!$C48)*(1+'Assumptions '!$F$43)^('Pro Forma'!BE$2-'Pro Forma'!$O$2),0)</f>
        <v>0</v>
      </c>
      <c r="BF22" s="256">
        <f>IF(AND(BF$2&gt;='Assumptions '!$G48,'Pro Forma'!BF$2&lt;='Assumptions '!$H48),('Assumptions '!$C48)*(1+'Assumptions '!$F$43)^('Pro Forma'!BF$2-'Pro Forma'!$O$2),0)</f>
        <v>0</v>
      </c>
      <c r="BG22" s="256">
        <f>IF(AND(BG$2&gt;='Assumptions '!$G48,'Pro Forma'!BG$2&lt;='Assumptions '!$H48),('Assumptions '!$C48)*(1+'Assumptions '!$F$43)^('Pro Forma'!BG$2-'Pro Forma'!$O$2),0)</f>
        <v>0</v>
      </c>
      <c r="BH22" s="256">
        <f>IF(AND(BH$2&gt;='Assumptions '!$G48,'Pro Forma'!BH$2&lt;='Assumptions '!$H48),('Assumptions '!$C48)*(1+'Assumptions '!$F$43)^('Pro Forma'!BH$2-'Pro Forma'!$O$2),0)</f>
        <v>0</v>
      </c>
      <c r="BI22" s="256">
        <f>IF(AND(BI$2&gt;='Assumptions '!$G48,'Pro Forma'!BI$2&lt;='Assumptions '!$H48),('Assumptions '!$C48)*(1+'Assumptions '!$F$43)^('Pro Forma'!BI$2-'Pro Forma'!$O$2),0)</f>
        <v>0</v>
      </c>
      <c r="BJ22" s="256">
        <f>IF(AND(BJ$2&gt;='Assumptions '!$G48,'Pro Forma'!BJ$2&lt;='Assumptions '!$H48),('Assumptions '!$C48)*(1+'Assumptions '!$F$43)^('Pro Forma'!BJ$2-'Pro Forma'!$O$2),0)</f>
        <v>0</v>
      </c>
      <c r="BK22" s="256">
        <f>IF(AND(BK$2&gt;='Assumptions '!$G48,'Pro Forma'!BK$2&lt;='Assumptions '!$H48),('Assumptions '!$C48)*(1+'Assumptions '!$F$43)^('Pro Forma'!BK$2-'Pro Forma'!$O$2),0)</f>
        <v>0</v>
      </c>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row>
    <row r="23" spans="1:168" s="132" customFormat="1" ht="15.75">
      <c r="A23" s="124" t="str">
        <f>'Assumptions '!B49</f>
        <v>Decomm. Fund </v>
      </c>
      <c r="B23" s="255"/>
      <c r="C23" s="255">
        <f t="shared" si="17"/>
        <v>0</v>
      </c>
      <c r="D23" s="255">
        <f t="shared" si="17"/>
        <v>0</v>
      </c>
      <c r="E23" s="255">
        <f t="shared" si="17"/>
        <v>0</v>
      </c>
      <c r="F23" s="255">
        <f t="shared" si="17"/>
        <v>0</v>
      </c>
      <c r="G23" s="255">
        <f t="shared" si="17"/>
        <v>0</v>
      </c>
      <c r="H23" s="255">
        <f t="shared" si="17"/>
        <v>0</v>
      </c>
      <c r="I23" s="255">
        <f t="shared" si="17"/>
        <v>0</v>
      </c>
      <c r="J23" s="255">
        <f t="shared" si="17"/>
        <v>0</v>
      </c>
      <c r="K23" s="255">
        <f t="shared" si="17"/>
        <v>0</v>
      </c>
      <c r="L23" s="255">
        <f t="shared" si="17"/>
        <v>0</v>
      </c>
      <c r="M23" s="255">
        <f t="shared" si="17"/>
        <v>0</v>
      </c>
      <c r="N23" s="255">
        <f t="shared" si="17"/>
        <v>0</v>
      </c>
      <c r="O23" s="256">
        <f>IF(AND(O$2&gt;='Assumptions '!$G49,'Pro Forma'!O$2&lt;='Assumptions '!$H49),('Assumptions '!$C49)*(1+'Assumptions '!$F$43)^('Pro Forma'!O$2-'Pro Forma'!$O$2),0)</f>
        <v>0</v>
      </c>
      <c r="P23" s="255">
        <f t="shared" si="18"/>
        <v>0</v>
      </c>
      <c r="Q23" s="255">
        <f t="shared" si="18"/>
        <v>0</v>
      </c>
      <c r="R23" s="255">
        <f t="shared" si="18"/>
        <v>0</v>
      </c>
      <c r="S23" s="255">
        <f t="shared" si="18"/>
        <v>0</v>
      </c>
      <c r="T23" s="255">
        <f t="shared" si="18"/>
        <v>0</v>
      </c>
      <c r="U23" s="255">
        <f t="shared" si="18"/>
        <v>0</v>
      </c>
      <c r="V23" s="255">
        <f t="shared" si="18"/>
        <v>0</v>
      </c>
      <c r="W23" s="255">
        <f t="shared" si="18"/>
        <v>0</v>
      </c>
      <c r="X23" s="255">
        <f t="shared" si="18"/>
        <v>0</v>
      </c>
      <c r="Y23" s="255">
        <f t="shared" si="18"/>
        <v>0</v>
      </c>
      <c r="Z23" s="255">
        <f t="shared" si="18"/>
        <v>0</v>
      </c>
      <c r="AA23" s="255">
        <f t="shared" si="18"/>
        <v>0</v>
      </c>
      <c r="AB23" s="256">
        <f>IF(AND(AB$2&gt;='Assumptions '!$G49,'Pro Forma'!AB$2&lt;='Assumptions '!$H49),('Assumptions '!$C49)*(1+'Assumptions '!$F$43)^('Pro Forma'!AB$2-'Pro Forma'!$O$2),0)</f>
        <v>0</v>
      </c>
      <c r="AC23" s="255">
        <f t="shared" si="19"/>
        <v>0</v>
      </c>
      <c r="AD23" s="255">
        <f t="shared" si="19"/>
        <v>0</v>
      </c>
      <c r="AE23" s="255">
        <f t="shared" si="19"/>
        <v>0</v>
      </c>
      <c r="AF23" s="255">
        <f t="shared" si="19"/>
        <v>0</v>
      </c>
      <c r="AG23" s="255">
        <f t="shared" si="19"/>
        <v>0</v>
      </c>
      <c r="AH23" s="255">
        <f t="shared" si="19"/>
        <v>0</v>
      </c>
      <c r="AI23" s="255">
        <f t="shared" si="19"/>
        <v>0</v>
      </c>
      <c r="AJ23" s="255">
        <f t="shared" si="19"/>
        <v>0</v>
      </c>
      <c r="AK23" s="255">
        <f t="shared" si="19"/>
        <v>0</v>
      </c>
      <c r="AL23" s="255">
        <f t="shared" si="19"/>
        <v>0</v>
      </c>
      <c r="AM23" s="255">
        <f t="shared" si="19"/>
        <v>0</v>
      </c>
      <c r="AN23" s="255">
        <f t="shared" si="19"/>
        <v>0</v>
      </c>
      <c r="AO23" s="256">
        <f>IF(AND(AO$2&gt;='Assumptions '!$G49,'Pro Forma'!AO$2&lt;='Assumptions '!$H49),('Assumptions '!$C49)*(1+'Assumptions '!$F$43)^('Pro Forma'!AO$2-'Pro Forma'!$O$2),0)</f>
        <v>0</v>
      </c>
      <c r="AP23" s="256">
        <f>IF(AND(AP$2&gt;='Assumptions '!$G49,'Pro Forma'!AP$2&lt;='Assumptions '!$H49),('Assumptions '!$C49)*(1+'Assumptions '!$F$43)^('Pro Forma'!AP$2-'Pro Forma'!$O$2),0)</f>
        <v>0</v>
      </c>
      <c r="AQ23" s="256">
        <f>IF(AND(AQ$2&gt;='Assumptions '!$G49,'Pro Forma'!AQ$2&lt;='Assumptions '!$H49),('Assumptions '!$C49)*(1+'Assumptions '!$F$43)^('Pro Forma'!AQ$2-'Pro Forma'!$O$2),0)</f>
        <v>0</v>
      </c>
      <c r="AR23" s="256">
        <f>IF(AND(AR$2&gt;='Assumptions '!$G49,'Pro Forma'!AR$2&lt;='Assumptions '!$H49),('Assumptions '!$C49)*(1+'Assumptions '!$F$43)^('Pro Forma'!AR$2-'Pro Forma'!$O$2),0)</f>
        <v>0</v>
      </c>
      <c r="AS23" s="256">
        <f>IF(AND(AS$2&gt;='Assumptions '!$G49,'Pro Forma'!AS$2&lt;='Assumptions '!$H49),('Assumptions '!$C49)*(1+'Assumptions '!$F$43)^('Pro Forma'!AS$2-'Pro Forma'!$O$2),0)</f>
        <v>0</v>
      </c>
      <c r="AT23" s="256">
        <f>IF(AND(AT$2&gt;='Assumptions '!$G49,'Pro Forma'!AT$2&lt;='Assumptions '!$H49),('Assumptions '!$C49)*(1+'Assumptions '!$F$43)^('Pro Forma'!AT$2-'Pro Forma'!$O$2),0)</f>
        <v>0</v>
      </c>
      <c r="AU23" s="256">
        <f>IF(AND(AU$2&gt;='Assumptions '!$G49,'Pro Forma'!AU$2&lt;='Assumptions '!$H49),('Assumptions '!$C49)*(1+'Assumptions '!$F$43)^('Pro Forma'!AU$2-'Pro Forma'!$O$2),0)</f>
        <v>0</v>
      </c>
      <c r="AV23" s="256">
        <f>IF(AND(AV$2&gt;='Assumptions '!$G49,'Pro Forma'!AV$2&lt;='Assumptions '!$H49),('Assumptions '!$C49)*(1+'Assumptions '!$F$43)^('Pro Forma'!AV$2-'Pro Forma'!$O$2),0)</f>
        <v>0</v>
      </c>
      <c r="AW23" s="256">
        <f>IF(AND(AW$2&gt;='Assumptions '!$G49,'Pro Forma'!AW$2&lt;='Assumptions '!$H49),('Assumptions '!$C49)*(1+'Assumptions '!$F$43)^('Pro Forma'!AW$2-'Pro Forma'!$O$2),0)</f>
        <v>0</v>
      </c>
      <c r="AX23" s="256">
        <f>IF(AND(AX$2&gt;='Assumptions '!$G49,'Pro Forma'!AX$2&lt;='Assumptions '!$H49),('Assumptions '!$C49)*(1+'Assumptions '!$F$43)^('Pro Forma'!AX$2-'Pro Forma'!$O$2),0)</f>
        <v>0</v>
      </c>
      <c r="AY23" s="256">
        <f>IF(AND(AY$2&gt;='Assumptions '!$G49,'Pro Forma'!AY$2&lt;='Assumptions '!$H49),('Assumptions '!$C49)*(1+'Assumptions '!$F$43)^('Pro Forma'!AY$2-'Pro Forma'!$O$2),0)</f>
        <v>0</v>
      </c>
      <c r="AZ23" s="256">
        <f>IF(AND(AZ$2&gt;='Assumptions '!$G49,'Pro Forma'!AZ$2&lt;='Assumptions '!$H49),('Assumptions '!$C49)*(1+'Assumptions '!$F$43)^('Pro Forma'!AZ$2-'Pro Forma'!$O$2),0)</f>
        <v>0</v>
      </c>
      <c r="BA23" s="256">
        <f>IF(AND(BA$2&gt;='Assumptions '!$G49,'Pro Forma'!BA$2&lt;='Assumptions '!$H49),('Assumptions '!$C49)*(1+'Assumptions '!$F$43)^('Pro Forma'!BA$2-'Pro Forma'!$O$2),0)</f>
        <v>0</v>
      </c>
      <c r="BB23" s="256">
        <f>IF(AND(BB$2&gt;='Assumptions '!$G49,'Pro Forma'!BB$2&lt;='Assumptions '!$H49),('Assumptions '!$C49)*(1+'Assumptions '!$F$43)^('Pro Forma'!BB$2-'Pro Forma'!$O$2),0)</f>
        <v>0</v>
      </c>
      <c r="BC23" s="256">
        <f>IF(AND(BC$2&gt;='Assumptions '!$G49,'Pro Forma'!BC$2&lt;='Assumptions '!$H49),('Assumptions '!$C49)*(1+'Assumptions '!$F$43)^('Pro Forma'!BC$2-'Pro Forma'!$O$2),0)</f>
        <v>0</v>
      </c>
      <c r="BD23" s="256">
        <f>IF(AND(BD$2&gt;='Assumptions '!$G49,'Pro Forma'!BD$2&lt;='Assumptions '!$H49),('Assumptions '!$C49)*(1+'Assumptions '!$F$43)^('Pro Forma'!BD$2-'Pro Forma'!$O$2),0)</f>
        <v>0</v>
      </c>
      <c r="BE23" s="256">
        <f>IF(AND(BE$2&gt;='Assumptions '!$G49,'Pro Forma'!BE$2&lt;='Assumptions '!$H49),('Assumptions '!$C49)*(1+'Assumptions '!$F$43)^('Pro Forma'!BE$2-'Pro Forma'!$O$2),0)</f>
        <v>0</v>
      </c>
      <c r="BF23" s="256">
        <f>IF(AND(BF$2&gt;='Assumptions '!$G49,'Pro Forma'!BF$2&lt;='Assumptions '!$H49),('Assumptions '!$C49)*(1+'Assumptions '!$F$43)^('Pro Forma'!BF$2-'Pro Forma'!$O$2),0)</f>
        <v>0</v>
      </c>
      <c r="BG23" s="256">
        <f>IF(AND(BG$2&gt;='Assumptions '!$G49,'Pro Forma'!BG$2&lt;='Assumptions '!$H49),('Assumptions '!$C49)*(1+'Assumptions '!$F$43)^('Pro Forma'!BG$2-'Pro Forma'!$O$2),0)</f>
        <v>0</v>
      </c>
      <c r="BH23" s="256">
        <f>IF(AND(BH$2&gt;='Assumptions '!$G49,'Pro Forma'!BH$2&lt;='Assumptions '!$H49),('Assumptions '!$C49)*(1+'Assumptions '!$F$43)^('Pro Forma'!BH$2-'Pro Forma'!$O$2),0)</f>
        <v>0</v>
      </c>
      <c r="BI23" s="256">
        <f>IF(AND(BI$2&gt;='Assumptions '!$G49,'Pro Forma'!BI$2&lt;='Assumptions '!$H49),('Assumptions '!$C49)*(1+'Assumptions '!$F$43)^('Pro Forma'!BI$2-'Pro Forma'!$O$2),0)</f>
        <v>0</v>
      </c>
      <c r="BJ23" s="256">
        <f>IF(AND(BJ$2&gt;='Assumptions '!$G49,'Pro Forma'!BJ$2&lt;='Assumptions '!$H49),('Assumptions '!$C49)*(1+'Assumptions '!$F$43)^('Pro Forma'!BJ$2-'Pro Forma'!$O$2),0)</f>
        <v>0</v>
      </c>
      <c r="BK23" s="256">
        <f>IF(AND(BK$2&gt;='Assumptions '!$G49,'Pro Forma'!BK$2&lt;='Assumptions '!$H49),('Assumptions '!$C49)*(1+'Assumptions '!$F$43)^('Pro Forma'!BK$2-'Pro Forma'!$O$2),0)</f>
        <v>0</v>
      </c>
      <c r="BL23" s="258">
        <f>SUM(O23,AB23,AO23:BF23)</f>
        <v>0</v>
      </c>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row>
    <row r="24" spans="1:168" s="132" customFormat="1" ht="15.75">
      <c r="A24" s="124" t="str">
        <f>'Assumptions '!B50</f>
        <v>Other Expenses</v>
      </c>
      <c r="B24" s="255"/>
      <c r="C24" s="255">
        <f t="shared" si="17"/>
        <v>19.83125</v>
      </c>
      <c r="D24" s="255">
        <f t="shared" si="17"/>
        <v>19.83125</v>
      </c>
      <c r="E24" s="255">
        <f t="shared" si="17"/>
        <v>19.83125</v>
      </c>
      <c r="F24" s="255">
        <f t="shared" si="17"/>
        <v>19.83125</v>
      </c>
      <c r="G24" s="255">
        <f t="shared" si="17"/>
        <v>19.83125</v>
      </c>
      <c r="H24" s="255">
        <f t="shared" si="17"/>
        <v>19.83125</v>
      </c>
      <c r="I24" s="255">
        <f t="shared" si="17"/>
        <v>19.83125</v>
      </c>
      <c r="J24" s="255">
        <f t="shared" si="17"/>
        <v>19.83125</v>
      </c>
      <c r="K24" s="255">
        <f t="shared" si="17"/>
        <v>19.83125</v>
      </c>
      <c r="L24" s="255">
        <f t="shared" si="17"/>
        <v>19.83125</v>
      </c>
      <c r="M24" s="255">
        <f t="shared" si="17"/>
        <v>19.83125</v>
      </c>
      <c r="N24" s="255">
        <f t="shared" si="17"/>
        <v>19.83125</v>
      </c>
      <c r="O24" s="256">
        <f>IF(AND(O$2&gt;='Assumptions '!$G50,'Pro Forma'!O$2&lt;='Assumptions '!$H50),('Assumptions '!$C50)*(1+'Assumptions '!$F$43)^('Pro Forma'!O$2-'Pro Forma'!$O$2),0)</f>
        <v>237.975</v>
      </c>
      <c r="P24" s="255">
        <f t="shared" si="18"/>
        <v>20.227875</v>
      </c>
      <c r="Q24" s="255">
        <f t="shared" si="18"/>
        <v>20.227875</v>
      </c>
      <c r="R24" s="255">
        <f t="shared" si="18"/>
        <v>20.227875</v>
      </c>
      <c r="S24" s="255">
        <f t="shared" si="18"/>
        <v>20.227875</v>
      </c>
      <c r="T24" s="255">
        <f t="shared" si="18"/>
        <v>20.227875</v>
      </c>
      <c r="U24" s="255">
        <f t="shared" si="18"/>
        <v>20.227875</v>
      </c>
      <c r="V24" s="255">
        <f t="shared" si="18"/>
        <v>20.227875</v>
      </c>
      <c r="W24" s="255">
        <f t="shared" si="18"/>
        <v>20.227875</v>
      </c>
      <c r="X24" s="255">
        <f t="shared" si="18"/>
        <v>20.227875</v>
      </c>
      <c r="Y24" s="255">
        <f t="shared" si="18"/>
        <v>20.227875</v>
      </c>
      <c r="Z24" s="255">
        <f t="shared" si="18"/>
        <v>20.227875</v>
      </c>
      <c r="AA24" s="255">
        <f t="shared" si="18"/>
        <v>20.227875</v>
      </c>
      <c r="AB24" s="256">
        <f>IF(AND(AB$2&gt;='Assumptions '!$G50,'Pro Forma'!AB$2&lt;='Assumptions '!$H50),('Assumptions '!$C50)*(1+'Assumptions '!$F$43)^('Pro Forma'!AB$2-'Pro Forma'!$O$2),0)</f>
        <v>242.7345</v>
      </c>
      <c r="AC24" s="255">
        <f t="shared" si="19"/>
        <v>20.6324325</v>
      </c>
      <c r="AD24" s="255">
        <f t="shared" si="19"/>
        <v>20.6324325</v>
      </c>
      <c r="AE24" s="255">
        <f t="shared" si="19"/>
        <v>20.6324325</v>
      </c>
      <c r="AF24" s="255">
        <f t="shared" si="19"/>
        <v>20.6324325</v>
      </c>
      <c r="AG24" s="255">
        <f t="shared" si="19"/>
        <v>20.6324325</v>
      </c>
      <c r="AH24" s="255">
        <f t="shared" si="19"/>
        <v>20.6324325</v>
      </c>
      <c r="AI24" s="255">
        <f t="shared" si="19"/>
        <v>20.6324325</v>
      </c>
      <c r="AJ24" s="255">
        <f t="shared" si="19"/>
        <v>20.6324325</v>
      </c>
      <c r="AK24" s="255">
        <f t="shared" si="19"/>
        <v>20.6324325</v>
      </c>
      <c r="AL24" s="255">
        <f t="shared" si="19"/>
        <v>20.6324325</v>
      </c>
      <c r="AM24" s="255">
        <f t="shared" si="19"/>
        <v>20.6324325</v>
      </c>
      <c r="AN24" s="255">
        <f t="shared" si="19"/>
        <v>20.6324325</v>
      </c>
      <c r="AO24" s="256">
        <f>IF(AND(AO$2&gt;='Assumptions '!$G50,'Pro Forma'!AO$2&lt;='Assumptions '!$H50),('Assumptions '!$C50)*(1+'Assumptions '!$F$43)^('Pro Forma'!AO$2-'Pro Forma'!$O$2),0)</f>
        <v>247.58919</v>
      </c>
      <c r="AP24" s="256">
        <f>IF(AND(AP$2&gt;='Assumptions '!$G50,'Pro Forma'!AP$2&lt;='Assumptions '!$H50),('Assumptions '!$C50)*(1+'Assumptions '!$F$43)^('Pro Forma'!AP$2-'Pro Forma'!$O$2),0)</f>
        <v>252.5409738</v>
      </c>
      <c r="AQ24" s="256">
        <f>IF(AND(AQ$2&gt;='Assumptions '!$G50,'Pro Forma'!AQ$2&lt;='Assumptions '!$H50),('Assumptions '!$C50)*(1+'Assumptions '!$F$43)^('Pro Forma'!AQ$2-'Pro Forma'!$O$2),0)</f>
        <v>257.591793276</v>
      </c>
      <c r="AR24" s="256">
        <f>IF(AND(AR$2&gt;='Assumptions '!$G50,'Pro Forma'!AR$2&lt;='Assumptions '!$H50),('Assumptions '!$C50)*(1+'Assumptions '!$F$43)^('Pro Forma'!AR$2-'Pro Forma'!$O$2),0)</f>
        <v>262.74362914152</v>
      </c>
      <c r="AS24" s="256">
        <f>IF(AND(AS$2&gt;='Assumptions '!$G50,'Pro Forma'!AS$2&lt;='Assumptions '!$H50),('Assumptions '!$C50)*(1+'Assumptions '!$F$43)^('Pro Forma'!AS$2-'Pro Forma'!$O$2),0)</f>
        <v>267.99850172435043</v>
      </c>
      <c r="AT24" s="256">
        <f>IF(AND(AT$2&gt;='Assumptions '!$G50,'Pro Forma'!AT$2&lt;='Assumptions '!$H50),('Assumptions '!$C50)*(1+'Assumptions '!$F$43)^('Pro Forma'!AT$2-'Pro Forma'!$O$2),0)</f>
        <v>273.35847175883737</v>
      </c>
      <c r="AU24" s="256">
        <f>IF(AND(AU$2&gt;='Assumptions '!$G50,'Pro Forma'!AU$2&lt;='Assumptions '!$H50),('Assumptions '!$C50)*(1+'Assumptions '!$F$43)^('Pro Forma'!AU$2-'Pro Forma'!$O$2),0)</f>
        <v>278.8256411940141</v>
      </c>
      <c r="AV24" s="256">
        <f>IF(AND(AV$2&gt;='Assumptions '!$G50,'Pro Forma'!AV$2&lt;='Assumptions '!$H50),('Assumptions '!$C50)*(1+'Assumptions '!$F$43)^('Pro Forma'!AV$2-'Pro Forma'!$O$2),0)</f>
        <v>284.4021540178944</v>
      </c>
      <c r="AW24" s="256">
        <f>IF(AND(AW$2&gt;='Assumptions '!$G50,'Pro Forma'!AW$2&lt;='Assumptions '!$H50),('Assumptions '!$C50)*(1+'Assumptions '!$F$43)^('Pro Forma'!AW$2-'Pro Forma'!$O$2),0)</f>
        <v>290.0901970982523</v>
      </c>
      <c r="AX24" s="256">
        <f>IF(AND(AX$2&gt;='Assumptions '!$G50,'Pro Forma'!AX$2&lt;='Assumptions '!$H50),('Assumptions '!$C50)*(1+'Assumptions '!$F$43)^('Pro Forma'!AX$2-'Pro Forma'!$O$2),0)</f>
        <v>295.8920010402173</v>
      </c>
      <c r="AY24" s="256">
        <f>IF(AND(AY$2&gt;='Assumptions '!$G50,'Pro Forma'!AY$2&lt;='Assumptions '!$H50),('Assumptions '!$C50)*(1+'Assumptions '!$F$43)^('Pro Forma'!AY$2-'Pro Forma'!$O$2),0)</f>
        <v>301.8098410610217</v>
      </c>
      <c r="AZ24" s="256">
        <f>IF(AND(AZ$2&gt;='Assumptions '!$G50,'Pro Forma'!AZ$2&lt;='Assumptions '!$H50),('Assumptions '!$C50)*(1+'Assumptions '!$F$43)^('Pro Forma'!AZ$2-'Pro Forma'!$O$2),0)</f>
        <v>307.8460378822421</v>
      </c>
      <c r="BA24" s="256">
        <f>IF(AND(BA$2&gt;='Assumptions '!$G50,'Pro Forma'!BA$2&lt;='Assumptions '!$H50),('Assumptions '!$C50)*(1+'Assumptions '!$F$43)^('Pro Forma'!BA$2-'Pro Forma'!$O$2),0)</f>
        <v>314.00295863988697</v>
      </c>
      <c r="BB24" s="256">
        <f>IF(AND(BB$2&gt;='Assumptions '!$G50,'Pro Forma'!BB$2&lt;='Assumptions '!$H50),('Assumptions '!$C50)*(1+'Assumptions '!$F$43)^('Pro Forma'!BB$2-'Pro Forma'!$O$2),0)</f>
        <v>320.28301781268465</v>
      </c>
      <c r="BC24" s="256">
        <f>IF(AND(BC$2&gt;='Assumptions '!$G50,'Pro Forma'!BC$2&lt;='Assumptions '!$H50),('Assumptions '!$C50)*(1+'Assumptions '!$F$43)^('Pro Forma'!BC$2-'Pro Forma'!$O$2),0)</f>
        <v>326.6886781689384</v>
      </c>
      <c r="BD24" s="256">
        <f>IF(AND(BD$2&gt;='Assumptions '!$G50,'Pro Forma'!BD$2&lt;='Assumptions '!$H50),('Assumptions '!$C50)*(1+'Assumptions '!$F$43)^('Pro Forma'!BD$2-'Pro Forma'!$O$2),0)</f>
        <v>333.2224517323172</v>
      </c>
      <c r="BE24" s="256">
        <f>IF(AND(BE$2&gt;='Assumptions '!$G50,'Pro Forma'!BE$2&lt;='Assumptions '!$H50),('Assumptions '!$C50)*(1+'Assumptions '!$F$43)^('Pro Forma'!BE$2-'Pro Forma'!$O$2),0)</f>
        <v>339.8869007669635</v>
      </c>
      <c r="BF24" s="256">
        <f>IF(AND(BF$2&gt;='Assumptions '!$G50,'Pro Forma'!BF$2&lt;='Assumptions '!$H50),('Assumptions '!$C50)*(1+'Assumptions '!$F$43)^('Pro Forma'!BF$2-'Pro Forma'!$O$2),0)</f>
        <v>346.6846387823027</v>
      </c>
      <c r="BG24" s="256">
        <f>IF(AND(BG$2&gt;='Assumptions '!$G50,'Pro Forma'!BG$2&lt;='Assumptions '!$H50),('Assumptions '!$C50)*(1+'Assumptions '!$F$43)^('Pro Forma'!BG$2-'Pro Forma'!$O$2),0)</f>
        <v>353.61833155794886</v>
      </c>
      <c r="BH24" s="256">
        <f>IF(AND(BH$2&gt;='Assumptions '!$G50,'Pro Forma'!BH$2&lt;='Assumptions '!$H50),('Assumptions '!$C50)*(1+'Assumptions '!$F$43)^('Pro Forma'!BH$2-'Pro Forma'!$O$2),0)</f>
        <v>360.69069818910776</v>
      </c>
      <c r="BI24" s="256">
        <f>IF(AND(BI$2&gt;='Assumptions '!$G50,'Pro Forma'!BI$2&lt;='Assumptions '!$H50),('Assumptions '!$C50)*(1+'Assumptions '!$F$43)^('Pro Forma'!BI$2-'Pro Forma'!$O$2),0)</f>
        <v>367.90451215289</v>
      </c>
      <c r="BJ24" s="256">
        <f>IF(AND(BJ$2&gt;='Assumptions '!$G50,'Pro Forma'!BJ$2&lt;='Assumptions '!$H50),('Assumptions '!$C50)*(1+'Assumptions '!$F$43)^('Pro Forma'!BJ$2-'Pro Forma'!$O$2),0)</f>
        <v>375.2626023959477</v>
      </c>
      <c r="BK24" s="256">
        <f>IF(AND(BK$2&gt;='Assumptions '!$G50,'Pro Forma'!BK$2&lt;='Assumptions '!$H50),('Assumptions '!$C50)*(1+'Assumptions '!$F$43)^('Pro Forma'!BK$2-'Pro Forma'!$O$2),0)</f>
        <v>382.76785444386667</v>
      </c>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row>
    <row r="25" spans="1:168" s="133" customFormat="1" ht="16.5" thickBot="1">
      <c r="A25" s="242" t="s">
        <v>10</v>
      </c>
      <c r="B25" s="261"/>
      <c r="C25" s="261">
        <f>$O25/12</f>
        <v>304.0791666666667</v>
      </c>
      <c r="D25" s="261">
        <f t="shared" si="17"/>
        <v>304.0791666666667</v>
      </c>
      <c r="E25" s="261">
        <f t="shared" si="17"/>
        <v>304.0791666666667</v>
      </c>
      <c r="F25" s="261">
        <f t="shared" si="17"/>
        <v>304.0791666666667</v>
      </c>
      <c r="G25" s="261">
        <f t="shared" si="17"/>
        <v>304.0791666666667</v>
      </c>
      <c r="H25" s="261">
        <f t="shared" si="17"/>
        <v>304.0791666666667</v>
      </c>
      <c r="I25" s="261">
        <f t="shared" si="17"/>
        <v>304.0791666666667</v>
      </c>
      <c r="J25" s="261">
        <f t="shared" si="17"/>
        <v>304.0791666666667</v>
      </c>
      <c r="K25" s="261">
        <f t="shared" si="17"/>
        <v>304.0791666666667</v>
      </c>
      <c r="L25" s="261">
        <f t="shared" si="17"/>
        <v>304.0791666666667</v>
      </c>
      <c r="M25" s="261">
        <f t="shared" si="17"/>
        <v>304.0791666666667</v>
      </c>
      <c r="N25" s="261">
        <f t="shared" si="17"/>
        <v>304.0791666666667</v>
      </c>
      <c r="O25" s="263">
        <f>SUM(O14:O24)</f>
        <v>3648.9500000000003</v>
      </c>
      <c r="P25" s="261">
        <f t="shared" si="18"/>
        <v>310.16075000000006</v>
      </c>
      <c r="Q25" s="261">
        <f t="shared" si="18"/>
        <v>310.16075000000006</v>
      </c>
      <c r="R25" s="261">
        <f t="shared" si="18"/>
        <v>310.16075000000006</v>
      </c>
      <c r="S25" s="261">
        <f t="shared" si="18"/>
        <v>310.16075000000006</v>
      </c>
      <c r="T25" s="261">
        <f t="shared" si="18"/>
        <v>310.16075000000006</v>
      </c>
      <c r="U25" s="261">
        <f t="shared" si="18"/>
        <v>310.16075000000006</v>
      </c>
      <c r="V25" s="261">
        <f t="shared" si="18"/>
        <v>310.16075000000006</v>
      </c>
      <c r="W25" s="261">
        <f t="shared" si="18"/>
        <v>310.16075000000006</v>
      </c>
      <c r="X25" s="261">
        <f t="shared" si="18"/>
        <v>310.16075000000006</v>
      </c>
      <c r="Y25" s="261">
        <f t="shared" si="18"/>
        <v>310.16075000000006</v>
      </c>
      <c r="Z25" s="261">
        <f t="shared" si="18"/>
        <v>310.16075000000006</v>
      </c>
      <c r="AA25" s="261">
        <f t="shared" si="18"/>
        <v>310.16075000000006</v>
      </c>
      <c r="AB25" s="263">
        <f>SUM(AB14:AB24)</f>
        <v>3721.9290000000005</v>
      </c>
      <c r="AC25" s="261">
        <f>AO25/12</f>
        <v>316.36396500000006</v>
      </c>
      <c r="AD25" s="261">
        <f aca="true" t="shared" si="20" ref="AD25:AN25">AP25/12</f>
        <v>547.1721099</v>
      </c>
      <c r="AE25" s="261">
        <f t="shared" si="20"/>
        <v>558.1155520980001</v>
      </c>
      <c r="AF25" s="261">
        <f t="shared" si="20"/>
        <v>569.27786313996</v>
      </c>
      <c r="AG25" s="261">
        <f t="shared" si="20"/>
        <v>580.6634204027592</v>
      </c>
      <c r="AH25" s="261">
        <f t="shared" si="20"/>
        <v>592.2766888108143</v>
      </c>
      <c r="AI25" s="261">
        <f t="shared" si="20"/>
        <v>604.1222225870307</v>
      </c>
      <c r="AJ25" s="261">
        <f t="shared" si="20"/>
        <v>2282.8713337054382</v>
      </c>
      <c r="AK25" s="261">
        <f t="shared" si="20"/>
        <v>370.67080740332244</v>
      </c>
      <c r="AL25" s="261">
        <f t="shared" si="20"/>
        <v>378.0842235513888</v>
      </c>
      <c r="AM25" s="261">
        <f t="shared" si="20"/>
        <v>385.6459080224167</v>
      </c>
      <c r="AN25" s="261">
        <f t="shared" si="20"/>
        <v>393.35882618286496</v>
      </c>
      <c r="AO25" s="263">
        <f aca="true" t="shared" si="21" ref="AO25:BF25">SUM(AO14:AO24)</f>
        <v>3796.3675800000005</v>
      </c>
      <c r="AP25" s="263">
        <f t="shared" si="21"/>
        <v>6566.0653188</v>
      </c>
      <c r="AQ25" s="263">
        <f t="shared" si="21"/>
        <v>6697.386625176001</v>
      </c>
      <c r="AR25" s="263">
        <f t="shared" si="21"/>
        <v>6831.3343576795205</v>
      </c>
      <c r="AS25" s="263">
        <f t="shared" si="21"/>
        <v>6967.961044833111</v>
      </c>
      <c r="AT25" s="263">
        <f t="shared" si="21"/>
        <v>7107.3202657297725</v>
      </c>
      <c r="AU25" s="263">
        <f t="shared" si="21"/>
        <v>7249.466671044368</v>
      </c>
      <c r="AV25" s="263">
        <f t="shared" si="21"/>
        <v>27394.456004465257</v>
      </c>
      <c r="AW25" s="263">
        <f t="shared" si="21"/>
        <v>4448.049688839869</v>
      </c>
      <c r="AX25" s="263">
        <f t="shared" si="21"/>
        <v>4537.010682616666</v>
      </c>
      <c r="AY25" s="263">
        <f t="shared" si="21"/>
        <v>4627.750896269</v>
      </c>
      <c r="AZ25" s="263">
        <f t="shared" si="21"/>
        <v>4720.3059141943795</v>
      </c>
      <c r="BA25" s="263">
        <f t="shared" si="21"/>
        <v>44814.712032478266</v>
      </c>
      <c r="BB25" s="263">
        <f t="shared" si="21"/>
        <v>4911.00627312783</v>
      </c>
      <c r="BC25" s="263">
        <f t="shared" si="21"/>
        <v>5009.226398590388</v>
      </c>
      <c r="BD25" s="263">
        <f t="shared" si="21"/>
        <v>5109.410926562198</v>
      </c>
      <c r="BE25" s="263">
        <f t="shared" si="21"/>
        <v>5211.599145093441</v>
      </c>
      <c r="BF25" s="263">
        <f t="shared" si="21"/>
        <v>5315.831127995309</v>
      </c>
      <c r="BG25" s="263">
        <f>SUM(BG14:BG24)</f>
        <v>5422.1477505552175</v>
      </c>
      <c r="BH25" s="263">
        <f>SUM(BH14:BH24)</f>
        <v>5530.59070556632</v>
      </c>
      <c r="BI25" s="263">
        <f>SUM(BI14:BI24)</f>
        <v>5641.202519677647</v>
      </c>
      <c r="BJ25" s="263">
        <f>SUM(BJ14:BJ24)</f>
        <v>5754.026570071198</v>
      </c>
      <c r="BK25" s="263">
        <f>SUM(BK14:BK24)</f>
        <v>5869.107101472623</v>
      </c>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row>
    <row r="26" spans="1:168" s="132" customFormat="1" ht="16.5" thickTop="1">
      <c r="A26" s="118"/>
      <c r="B26" s="255"/>
      <c r="C26" s="255"/>
      <c r="D26" s="255"/>
      <c r="E26" s="255"/>
      <c r="F26" s="255"/>
      <c r="G26" s="255"/>
      <c r="H26" s="255"/>
      <c r="I26" s="255"/>
      <c r="J26" s="255"/>
      <c r="K26" s="255"/>
      <c r="L26" s="255"/>
      <c r="M26" s="255"/>
      <c r="N26" s="255"/>
      <c r="O26" s="256"/>
      <c r="P26" s="255"/>
      <c r="Q26" s="255"/>
      <c r="R26" s="255"/>
      <c r="S26" s="255"/>
      <c r="T26" s="255"/>
      <c r="U26" s="255"/>
      <c r="V26" s="255"/>
      <c r="W26" s="255"/>
      <c r="X26" s="255"/>
      <c r="Y26" s="255"/>
      <c r="Z26" s="255"/>
      <c r="AA26" s="255"/>
      <c r="AB26" s="257"/>
      <c r="AC26" s="255"/>
      <c r="AD26" s="255"/>
      <c r="AE26" s="255"/>
      <c r="AF26" s="255"/>
      <c r="AG26" s="255"/>
      <c r="AH26" s="255"/>
      <c r="AI26" s="255"/>
      <c r="AJ26" s="255"/>
      <c r="AK26" s="255"/>
      <c r="AL26" s="255"/>
      <c r="AM26" s="255"/>
      <c r="AN26" s="255"/>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row>
    <row r="27" spans="1:124" s="144" customFormat="1" ht="15.75">
      <c r="A27" s="143" t="s">
        <v>94</v>
      </c>
      <c r="B27" s="259"/>
      <c r="C27" s="259"/>
      <c r="D27" s="259"/>
      <c r="E27" s="259"/>
      <c r="F27" s="259"/>
      <c r="G27" s="259"/>
      <c r="H27" s="259"/>
      <c r="I27" s="259"/>
      <c r="J27" s="259"/>
      <c r="K27" s="259"/>
      <c r="L27" s="259"/>
      <c r="M27" s="259"/>
      <c r="N27" s="259"/>
      <c r="O27" s="260"/>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row>
    <row r="28" spans="1:63" s="132" customFormat="1" ht="15.75">
      <c r="A28" s="118" t="s">
        <v>24</v>
      </c>
      <c r="B28" s="255"/>
      <c r="C28" s="255">
        <f>C11-C25</f>
        <v>3662.170833333333</v>
      </c>
      <c r="D28" s="255">
        <f aca="true" t="shared" si="22" ref="D28:BF28">D11-D25</f>
        <v>3662.170833333333</v>
      </c>
      <c r="E28" s="255">
        <f t="shared" si="22"/>
        <v>3662.170833333333</v>
      </c>
      <c r="F28" s="255">
        <f t="shared" si="22"/>
        <v>3662.170833333333</v>
      </c>
      <c r="G28" s="255">
        <f t="shared" si="22"/>
        <v>3662.170833333333</v>
      </c>
      <c r="H28" s="255">
        <f t="shared" si="22"/>
        <v>3662.170833333333</v>
      </c>
      <c r="I28" s="255">
        <f t="shared" si="22"/>
        <v>3662.170833333333</v>
      </c>
      <c r="J28" s="255">
        <f t="shared" si="22"/>
        <v>3662.170833333333</v>
      </c>
      <c r="K28" s="255">
        <f t="shared" si="22"/>
        <v>3662.170833333333</v>
      </c>
      <c r="L28" s="255">
        <f t="shared" si="22"/>
        <v>3662.170833333333</v>
      </c>
      <c r="M28" s="255">
        <f t="shared" si="22"/>
        <v>3662.170833333333</v>
      </c>
      <c r="N28" s="255">
        <f t="shared" si="22"/>
        <v>3662.170833333333</v>
      </c>
      <c r="O28" s="257">
        <f>O11-O25</f>
        <v>43946.05</v>
      </c>
      <c r="P28" s="255">
        <f t="shared" si="22"/>
        <v>3735.4142500000003</v>
      </c>
      <c r="Q28" s="255">
        <f t="shared" si="22"/>
        <v>3735.4142500000003</v>
      </c>
      <c r="R28" s="255">
        <f t="shared" si="22"/>
        <v>3735.4142500000003</v>
      </c>
      <c r="S28" s="255">
        <f t="shared" si="22"/>
        <v>3735.4142500000003</v>
      </c>
      <c r="T28" s="255">
        <f t="shared" si="22"/>
        <v>3735.4142500000003</v>
      </c>
      <c r="U28" s="255">
        <f t="shared" si="22"/>
        <v>3735.4142500000003</v>
      </c>
      <c r="V28" s="255">
        <f t="shared" si="22"/>
        <v>3735.4142500000003</v>
      </c>
      <c r="W28" s="255">
        <f t="shared" si="22"/>
        <v>3735.4142500000003</v>
      </c>
      <c r="X28" s="255">
        <f t="shared" si="22"/>
        <v>3735.4142500000003</v>
      </c>
      <c r="Y28" s="255">
        <f t="shared" si="22"/>
        <v>3735.4142500000003</v>
      </c>
      <c r="Z28" s="255">
        <f t="shared" si="22"/>
        <v>3735.4142500000003</v>
      </c>
      <c r="AA28" s="255">
        <f t="shared" si="22"/>
        <v>3735.4142500000003</v>
      </c>
      <c r="AB28" s="257">
        <f t="shared" si="22"/>
        <v>44824.971</v>
      </c>
      <c r="AC28" s="255">
        <f t="shared" si="22"/>
        <v>3810.122535</v>
      </c>
      <c r="AD28" s="255">
        <f t="shared" si="22"/>
        <v>3579.3143901</v>
      </c>
      <c r="AE28" s="255">
        <f t="shared" si="22"/>
        <v>3568.370947902</v>
      </c>
      <c r="AF28" s="255">
        <f t="shared" si="22"/>
        <v>3557.20863686004</v>
      </c>
      <c r="AG28" s="255">
        <f t="shared" si="22"/>
        <v>3545.823079597241</v>
      </c>
      <c r="AH28" s="255">
        <f t="shared" si="22"/>
        <v>3534.2098111891855</v>
      </c>
      <c r="AI28" s="255">
        <f t="shared" si="22"/>
        <v>3522.3642774129694</v>
      </c>
      <c r="AJ28" s="255">
        <f t="shared" si="22"/>
        <v>1843.6151662945617</v>
      </c>
      <c r="AK28" s="255">
        <f t="shared" si="22"/>
        <v>3755.8156925966778</v>
      </c>
      <c r="AL28" s="255">
        <f t="shared" si="22"/>
        <v>3748.4022764486112</v>
      </c>
      <c r="AM28" s="255">
        <f t="shared" si="22"/>
        <v>3740.8405919775832</v>
      </c>
      <c r="AN28" s="255">
        <f t="shared" si="22"/>
        <v>3733.127673817135</v>
      </c>
      <c r="AO28" s="257">
        <f t="shared" si="22"/>
        <v>45721.47042</v>
      </c>
      <c r="AP28" s="257">
        <f t="shared" si="22"/>
        <v>43942.1294412</v>
      </c>
      <c r="AQ28" s="257">
        <f t="shared" si="22"/>
        <v>44820.972030024</v>
      </c>
      <c r="AR28" s="257">
        <f t="shared" si="22"/>
        <v>45717.391470624476</v>
      </c>
      <c r="AS28" s="257">
        <f t="shared" si="22"/>
        <v>46631.73930003698</v>
      </c>
      <c r="AT28" s="257">
        <f t="shared" si="22"/>
        <v>47564.3740860377</v>
      </c>
      <c r="AU28" s="257">
        <f t="shared" si="22"/>
        <v>48515.661567758456</v>
      </c>
      <c r="AV28" s="257">
        <f t="shared" si="22"/>
        <v>29485.97479911363</v>
      </c>
      <c r="AW28" s="257">
        <f t="shared" si="22"/>
        <v>53569.989730810594</v>
      </c>
      <c r="AX28" s="257">
        <f t="shared" si="22"/>
        <v>54641.3895254268</v>
      </c>
      <c r="AY28" s="257">
        <f t="shared" si="22"/>
        <v>55734.21731593535</v>
      </c>
      <c r="AZ28" s="257">
        <f t="shared" si="22"/>
        <v>56848.901662254044</v>
      </c>
      <c r="BA28" s="257">
        <f t="shared" si="22"/>
        <v>17985.879695499134</v>
      </c>
      <c r="BB28" s="257">
        <f t="shared" si="22"/>
        <v>59145.5972894091</v>
      </c>
      <c r="BC28" s="257">
        <f t="shared" si="22"/>
        <v>60328.509235197285</v>
      </c>
      <c r="BD28" s="257">
        <f t="shared" si="22"/>
        <v>61535.079419901245</v>
      </c>
      <c r="BE28" s="257">
        <f t="shared" si="22"/>
        <v>62765.781008299266</v>
      </c>
      <c r="BF28" s="257">
        <f t="shared" si="22"/>
        <v>64021.09662846525</v>
      </c>
      <c r="BG28" s="257">
        <f>BG11-BG25</f>
        <v>65301.51856103455</v>
      </c>
      <c r="BH28" s="257">
        <f>BH11-BH25</f>
        <v>66607.54893225523</v>
      </c>
      <c r="BI28" s="257">
        <f>BI11-BI25</f>
        <v>67939.69991090034</v>
      </c>
      <c r="BJ28" s="257">
        <f>BJ11-BJ25</f>
        <v>69298.49390911833</v>
      </c>
      <c r="BK28" s="257">
        <f>BK11-BK25</f>
        <v>70684.46378730072</v>
      </c>
    </row>
    <row r="29" spans="1:63" s="132" customFormat="1" ht="15.75">
      <c r="A29" s="118" t="s">
        <v>72</v>
      </c>
      <c r="B29" s="255"/>
      <c r="C29" s="255">
        <f>$O29/12</f>
        <v>1016.1666666666666</v>
      </c>
      <c r="D29" s="255">
        <f aca="true" t="shared" si="23" ref="D29:N31">$O29/12</f>
        <v>1016.1666666666666</v>
      </c>
      <c r="E29" s="255">
        <f t="shared" si="23"/>
        <v>1016.1666666666666</v>
      </c>
      <c r="F29" s="255">
        <f t="shared" si="23"/>
        <v>1016.1666666666666</v>
      </c>
      <c r="G29" s="255">
        <f t="shared" si="23"/>
        <v>1016.1666666666666</v>
      </c>
      <c r="H29" s="255">
        <f t="shared" si="23"/>
        <v>1016.1666666666666</v>
      </c>
      <c r="I29" s="255">
        <f t="shared" si="23"/>
        <v>1016.1666666666666</v>
      </c>
      <c r="J29" s="255">
        <f t="shared" si="23"/>
        <v>1016.1666666666666</v>
      </c>
      <c r="K29" s="255">
        <f t="shared" si="23"/>
        <v>1016.1666666666666</v>
      </c>
      <c r="L29" s="255">
        <f t="shared" si="23"/>
        <v>1016.1666666666666</v>
      </c>
      <c r="M29" s="255">
        <f t="shared" si="23"/>
        <v>1016.1666666666666</v>
      </c>
      <c r="N29" s="255">
        <f t="shared" si="23"/>
        <v>1016.1666666666666</v>
      </c>
      <c r="O29" s="256">
        <f>IF('Assumptions '!$C$17=Sheet1!$A$1,0,IF('Assumptions '!$C$17=Sheet1!$A$2,'Calculation Appendix'!B14,IF('Assumptions '!$C$17=Sheet1!$A$3,'Calculation Appendix'!B25)))</f>
        <v>12194</v>
      </c>
      <c r="P29" s="264">
        <f>$AB$29/12</f>
        <v>1016.1666666666666</v>
      </c>
      <c r="Q29" s="264">
        <f aca="true" t="shared" si="24" ref="Q29:AA29">$AB$29/12</f>
        <v>1016.1666666666666</v>
      </c>
      <c r="R29" s="264">
        <f t="shared" si="24"/>
        <v>1016.1666666666666</v>
      </c>
      <c r="S29" s="264">
        <f t="shared" si="24"/>
        <v>1016.1666666666666</v>
      </c>
      <c r="T29" s="264">
        <f t="shared" si="24"/>
        <v>1016.1666666666666</v>
      </c>
      <c r="U29" s="264">
        <f t="shared" si="24"/>
        <v>1016.1666666666666</v>
      </c>
      <c r="V29" s="264">
        <f t="shared" si="24"/>
        <v>1016.1666666666666</v>
      </c>
      <c r="W29" s="264">
        <f t="shared" si="24"/>
        <v>1016.1666666666666</v>
      </c>
      <c r="X29" s="264">
        <f t="shared" si="24"/>
        <v>1016.1666666666666</v>
      </c>
      <c r="Y29" s="264">
        <f t="shared" si="24"/>
        <v>1016.1666666666666</v>
      </c>
      <c r="Z29" s="264">
        <f t="shared" si="24"/>
        <v>1016.1666666666666</v>
      </c>
      <c r="AA29" s="264">
        <f t="shared" si="24"/>
        <v>1016.1666666666666</v>
      </c>
      <c r="AB29" s="256">
        <f>IF('Assumptions '!$C$17=Sheet1!$A$1,0,IF('Assumptions '!$C$17=Sheet1!$A$2,'Calculation Appendix'!C14,IF('Assumptions '!$C$17=Sheet1!$A$3,'Calculation Appendix'!C25)))</f>
        <v>12194</v>
      </c>
      <c r="AC29" s="264">
        <f>$AO$29/12</f>
        <v>1016.1666666666666</v>
      </c>
      <c r="AD29" s="264">
        <f aca="true" t="shared" si="25" ref="AD29:AN29">$AO$29/12</f>
        <v>1016.1666666666666</v>
      </c>
      <c r="AE29" s="264">
        <f t="shared" si="25"/>
        <v>1016.1666666666666</v>
      </c>
      <c r="AF29" s="264">
        <f t="shared" si="25"/>
        <v>1016.1666666666666</v>
      </c>
      <c r="AG29" s="264">
        <f t="shared" si="25"/>
        <v>1016.1666666666666</v>
      </c>
      <c r="AH29" s="264">
        <f t="shared" si="25"/>
        <v>1016.1666666666666</v>
      </c>
      <c r="AI29" s="264">
        <f t="shared" si="25"/>
        <v>1016.1666666666666</v>
      </c>
      <c r="AJ29" s="264">
        <f t="shared" si="25"/>
        <v>1016.1666666666666</v>
      </c>
      <c r="AK29" s="264">
        <f t="shared" si="25"/>
        <v>1016.1666666666666</v>
      </c>
      <c r="AL29" s="264">
        <f t="shared" si="25"/>
        <v>1016.1666666666666</v>
      </c>
      <c r="AM29" s="264">
        <f t="shared" si="25"/>
        <v>1016.1666666666666</v>
      </c>
      <c r="AN29" s="264">
        <f t="shared" si="25"/>
        <v>1016.1666666666666</v>
      </c>
      <c r="AO29" s="256">
        <f>IF('Assumptions '!$C$17=Sheet1!$A$1,0,IF('Assumptions '!$C$17=Sheet1!$A$2,'Calculation Appendix'!D14,IF('Assumptions '!$C$17=Sheet1!$A$3,'Calculation Appendix'!D25)))</f>
        <v>12194</v>
      </c>
      <c r="AP29" s="256">
        <f>IF('Assumptions '!$C$17=Sheet1!$A$1,0,IF('Assumptions '!$C$17=Sheet1!$A$2,'Calculation Appendix'!E14,IF('Assumptions '!$C$17=Sheet1!$A$3,'Calculation Appendix'!E25)))</f>
        <v>12194</v>
      </c>
      <c r="AQ29" s="256">
        <f>IF('Assumptions '!$C$17=Sheet1!$A$1,0,IF('Assumptions '!$C$17=Sheet1!$A$2,'Calculation Appendix'!F14,IF('Assumptions '!$C$17=Sheet1!$A$3,'Calculation Appendix'!F25)))</f>
        <v>12194</v>
      </c>
      <c r="AR29" s="256">
        <f>IF('Assumptions '!$C$17=Sheet1!$A$1,0,IF('Assumptions '!$C$17=Sheet1!$A$2,'Calculation Appendix'!G14,IF('Assumptions '!$C$17=Sheet1!$A$3,'Calculation Appendix'!G25)))</f>
        <v>12194</v>
      </c>
      <c r="AS29" s="256">
        <f>IF('Assumptions '!$C$17=Sheet1!$A$1,0,IF('Assumptions '!$C$17=Sheet1!$A$2,'Calculation Appendix'!H14,IF('Assumptions '!$C$17=Sheet1!$A$3,'Calculation Appendix'!H25)))</f>
        <v>12194</v>
      </c>
      <c r="AT29" s="256">
        <f>IF('Assumptions '!$C$17=Sheet1!$A$1,0,IF('Assumptions '!$C$17=Sheet1!$A$2,'Calculation Appendix'!I14,IF('Assumptions '!$C$17=Sheet1!$A$3,'Calculation Appendix'!I25)))</f>
        <v>12194</v>
      </c>
      <c r="AU29" s="256">
        <f>IF('Assumptions '!$C$17=Sheet1!$A$1,0,IF('Assumptions '!$C$17=Sheet1!$A$2,'Calculation Appendix'!J14,IF('Assumptions '!$C$17=Sheet1!$A$3,'Calculation Appendix'!J25)))</f>
        <v>12194</v>
      </c>
      <c r="AV29" s="256">
        <f>IF('Assumptions '!$C$17=Sheet1!$A$1,0,IF('Assumptions '!$C$17=Sheet1!$A$2,'Calculation Appendix'!K14,IF('Assumptions '!$C$17=Sheet1!$A$3,'Calculation Appendix'!K25)))</f>
        <v>12194</v>
      </c>
      <c r="AW29" s="256">
        <f>IF('Assumptions '!$C$17=Sheet1!$A$1,0,IF('Assumptions '!$C$17=Sheet1!$A$2,'Calculation Appendix'!L14,IF('Assumptions '!$C$17=Sheet1!$A$3,'Calculation Appendix'!L25)))</f>
        <v>12194</v>
      </c>
      <c r="AX29" s="256">
        <f>IF('Assumptions '!$C$17=Sheet1!$A$1,0,IF('Assumptions '!$C$17=Sheet1!$A$2,'Calculation Appendix'!M14,IF('Assumptions '!$C$17=Sheet1!$A$3,'Calculation Appendix'!M25)))</f>
        <v>12194</v>
      </c>
      <c r="AY29" s="256">
        <f>IF('Assumptions '!$C$17=Sheet1!$A$1,0,IF('Assumptions '!$C$17=Sheet1!$A$2,'Calculation Appendix'!N14,IF('Assumptions '!$C$17=Sheet1!$A$3,'Calculation Appendix'!N25)))</f>
        <v>12194</v>
      </c>
      <c r="AZ29" s="256">
        <f>IF('Assumptions '!$C$17=Sheet1!$A$1,0,IF('Assumptions '!$C$17=Sheet1!$A$2,'Calculation Appendix'!O14,IF('Assumptions '!$C$17=Sheet1!$A$3,'Calculation Appendix'!O25)))</f>
        <v>12194</v>
      </c>
      <c r="BA29" s="256">
        <f>IF('Assumptions '!$C$17=Sheet1!$A$1,0,IF('Assumptions '!$C$17=Sheet1!$A$2,'Calculation Appendix'!P14,IF('Assumptions '!$C$17=Sheet1!$A$3,'Calculation Appendix'!P25)))</f>
        <v>12194</v>
      </c>
      <c r="BB29" s="256">
        <f>IF('Assumptions '!$C$17=Sheet1!$A$1,0,IF('Assumptions '!$C$17=Sheet1!$A$2,'Calculation Appendix'!Q14,IF('Assumptions '!$C$17=Sheet1!$A$3,'Calculation Appendix'!Q25)))</f>
        <v>12194</v>
      </c>
      <c r="BC29" s="256">
        <f>IF('Assumptions '!$C$17=Sheet1!$A$1,0,IF('Assumptions '!$C$17=Sheet1!$A$2,'Calculation Appendix'!R14,IF('Assumptions '!$C$17=Sheet1!$A$3,'Calculation Appendix'!R25)))</f>
        <v>12194</v>
      </c>
      <c r="BD29" s="256">
        <f>IF('Assumptions '!$C$17=Sheet1!$A$1,0,IF('Assumptions '!$C$17=Sheet1!$A$2,'Calculation Appendix'!S14,IF('Assumptions '!$C$17=Sheet1!$A$3,'Calculation Appendix'!S25)))</f>
        <v>12194</v>
      </c>
      <c r="BE29" s="256">
        <f>IF('Assumptions '!$C$17=Sheet1!$A$1,0,IF('Assumptions '!$C$17=Sheet1!$A$2,'Calculation Appendix'!T14,IF('Assumptions '!$C$17=Sheet1!$A$3,'Calculation Appendix'!T25)))</f>
        <v>12194</v>
      </c>
      <c r="BF29" s="256">
        <f>IF('Assumptions '!$C$17=Sheet1!$A$1,0,IF('Assumptions '!$C$17=Sheet1!$A$2,'Calculation Appendix'!U14,IF('Assumptions '!$C$17=Sheet1!$A$3,'Calculation Appendix'!U25)))</f>
        <v>12194</v>
      </c>
      <c r="BG29" s="256">
        <f>IF('Assumptions '!$C$17=Sheet1!$A$1,0,IF('Assumptions '!$C$17=Sheet1!$A$2,'Calculation Appendix'!V14,IF('Assumptions '!$C$17=Sheet1!$A$3,'Calculation Appendix'!V25)))</f>
        <v>12194</v>
      </c>
      <c r="BH29" s="256">
        <f>IF('Assumptions '!$C$17=Sheet1!$A$1,0,IF('Assumptions '!$C$17=Sheet1!$A$2,'Calculation Appendix'!W14,IF('Assumptions '!$C$17=Sheet1!$A$3,'Calculation Appendix'!W25)))</f>
        <v>12194</v>
      </c>
      <c r="BI29" s="256">
        <f>IF('Assumptions '!$C$17=Sheet1!$A$1,0,IF('Assumptions '!$C$17=Sheet1!$A$2,'Calculation Appendix'!X14,IF('Assumptions '!$C$17=Sheet1!$A$3,'Calculation Appendix'!X25)))</f>
        <v>12194</v>
      </c>
      <c r="BJ29" s="256">
        <f>IF('Assumptions '!$C$17=Sheet1!$A$1,0,IF('Assumptions '!$C$17=Sheet1!$A$2,'Calculation Appendix'!Y14,IF('Assumptions '!$C$17=Sheet1!$A$3,'Calculation Appendix'!Y25)))</f>
        <v>12194</v>
      </c>
      <c r="BK29" s="256">
        <f>IF('Assumptions '!$C$17=Sheet1!$A$1,0,IF('Assumptions '!$C$17=Sheet1!$A$2,'Calculation Appendix'!Z14,IF('Assumptions '!$C$17=Sheet1!$A$3,'Calculation Appendix'!Z25)))</f>
        <v>12194</v>
      </c>
    </row>
    <row r="30" spans="1:63" s="132" customFormat="1" ht="15.75">
      <c r="A30" s="118" t="s">
        <v>73</v>
      </c>
      <c r="B30" s="255"/>
      <c r="C30" s="255">
        <f>$O30/12</f>
        <v>0</v>
      </c>
      <c r="D30" s="255">
        <f t="shared" si="23"/>
        <v>0</v>
      </c>
      <c r="E30" s="255">
        <f t="shared" si="23"/>
        <v>0</v>
      </c>
      <c r="F30" s="255">
        <f t="shared" si="23"/>
        <v>0</v>
      </c>
      <c r="G30" s="255">
        <f t="shared" si="23"/>
        <v>0</v>
      </c>
      <c r="H30" s="255">
        <f t="shared" si="23"/>
        <v>0</v>
      </c>
      <c r="I30" s="255">
        <f t="shared" si="23"/>
        <v>0</v>
      </c>
      <c r="J30" s="255">
        <f t="shared" si="23"/>
        <v>0</v>
      </c>
      <c r="K30" s="255">
        <f t="shared" si="23"/>
        <v>0</v>
      </c>
      <c r="L30" s="255">
        <f t="shared" si="23"/>
        <v>0</v>
      </c>
      <c r="M30" s="255">
        <f t="shared" si="23"/>
        <v>0</v>
      </c>
      <c r="N30" s="255">
        <f t="shared" si="23"/>
        <v>0</v>
      </c>
      <c r="O30" s="256">
        <f>'Calculation Appendix'!B35</f>
        <v>0</v>
      </c>
      <c r="P30" s="264">
        <f>'Calculation Appendix'!C35</f>
        <v>0</v>
      </c>
      <c r="Q30" s="264">
        <f>'Calculation Appendix'!D35</f>
        <v>0</v>
      </c>
      <c r="R30" s="264">
        <f>'Calculation Appendix'!E35</f>
        <v>0</v>
      </c>
      <c r="S30" s="264">
        <f>'Calculation Appendix'!F35</f>
        <v>0</v>
      </c>
      <c r="T30" s="264">
        <f>'Calculation Appendix'!G35</f>
        <v>0</v>
      </c>
      <c r="U30" s="264">
        <f>'Calculation Appendix'!H35</f>
        <v>0</v>
      </c>
      <c r="V30" s="264">
        <f>'Calculation Appendix'!I35</f>
        <v>0</v>
      </c>
      <c r="W30" s="264">
        <f>'Calculation Appendix'!J35</f>
        <v>0</v>
      </c>
      <c r="X30" s="264">
        <f>'Calculation Appendix'!K35</f>
        <v>0</v>
      </c>
      <c r="Y30" s="264">
        <f>'Calculation Appendix'!L35</f>
        <v>0</v>
      </c>
      <c r="Z30" s="264">
        <f>'Calculation Appendix'!M35</f>
        <v>0</v>
      </c>
      <c r="AA30" s="264">
        <f>'Calculation Appendix'!N35</f>
        <v>0</v>
      </c>
      <c r="AB30" s="256">
        <f>'Calculation Appendix'!C35</f>
        <v>0</v>
      </c>
      <c r="AC30" s="264">
        <f>'Calculation Appendix'!P35</f>
        <v>0</v>
      </c>
      <c r="AD30" s="264">
        <f>'Calculation Appendix'!Q35</f>
        <v>0</v>
      </c>
      <c r="AE30" s="264">
        <f>'Calculation Appendix'!R35</f>
        <v>0</v>
      </c>
      <c r="AF30" s="264">
        <f>'Calculation Appendix'!S35</f>
        <v>0</v>
      </c>
      <c r="AG30" s="264">
        <f>'Calculation Appendix'!T35</f>
        <v>0</v>
      </c>
      <c r="AH30" s="264">
        <f>'Calculation Appendix'!U35</f>
        <v>0</v>
      </c>
      <c r="AI30" s="264">
        <f>'Calculation Appendix'!V35</f>
        <v>0</v>
      </c>
      <c r="AJ30" s="264">
        <f>'Calculation Appendix'!W35</f>
        <v>0</v>
      </c>
      <c r="AK30" s="264">
        <f>'Calculation Appendix'!X35</f>
        <v>0</v>
      </c>
      <c r="AL30" s="264">
        <f>'Calculation Appendix'!Y35</f>
        <v>0</v>
      </c>
      <c r="AM30" s="264">
        <f>'Calculation Appendix'!Z35</f>
        <v>0</v>
      </c>
      <c r="AN30" s="264">
        <f>'Calculation Appendix'!AA35</f>
        <v>0</v>
      </c>
      <c r="AO30" s="256">
        <f>'Calculation Appendix'!D35</f>
        <v>0</v>
      </c>
      <c r="AP30" s="256">
        <f>'Calculation Appendix'!E35</f>
        <v>0</v>
      </c>
      <c r="AQ30" s="256">
        <f>'Calculation Appendix'!F35</f>
        <v>0</v>
      </c>
      <c r="AR30" s="256">
        <f>'Calculation Appendix'!G35</f>
        <v>0</v>
      </c>
      <c r="AS30" s="256">
        <f>'Calculation Appendix'!H35</f>
        <v>0</v>
      </c>
      <c r="AT30" s="256">
        <f>'Calculation Appendix'!I35</f>
        <v>0</v>
      </c>
      <c r="AU30" s="256">
        <f>'Calculation Appendix'!J35</f>
        <v>0</v>
      </c>
      <c r="AV30" s="256">
        <f>'Calculation Appendix'!K35</f>
        <v>0</v>
      </c>
      <c r="AW30" s="256">
        <f>'Calculation Appendix'!L35</f>
        <v>0</v>
      </c>
      <c r="AX30" s="256">
        <f>'Calculation Appendix'!M35</f>
        <v>0</v>
      </c>
      <c r="AY30" s="256">
        <f>'Calculation Appendix'!N35</f>
        <v>0</v>
      </c>
      <c r="AZ30" s="256">
        <f>'Calculation Appendix'!O35</f>
        <v>0</v>
      </c>
      <c r="BA30" s="256">
        <f>'Calculation Appendix'!P35</f>
        <v>0</v>
      </c>
      <c r="BB30" s="256">
        <f>'Calculation Appendix'!Q35</f>
        <v>0</v>
      </c>
      <c r="BC30" s="256">
        <f>'Calculation Appendix'!R35</f>
        <v>0</v>
      </c>
      <c r="BD30" s="256">
        <f>'Calculation Appendix'!S35</f>
        <v>0</v>
      </c>
      <c r="BE30" s="256">
        <f>'Calculation Appendix'!T35</f>
        <v>0</v>
      </c>
      <c r="BF30" s="256">
        <f>'Calculation Appendix'!U35</f>
        <v>0</v>
      </c>
      <c r="BG30" s="256">
        <f>'Calculation Appendix'!V35</f>
        <v>0</v>
      </c>
      <c r="BH30" s="256">
        <f>'Calculation Appendix'!W35</f>
        <v>0</v>
      </c>
      <c r="BI30" s="256">
        <f>'Calculation Appendix'!X35</f>
        <v>0</v>
      </c>
      <c r="BJ30" s="256">
        <f>'Calculation Appendix'!Y35</f>
        <v>0</v>
      </c>
      <c r="BK30" s="256">
        <f>'Calculation Appendix'!Z35</f>
        <v>0</v>
      </c>
    </row>
    <row r="31" spans="1:63" s="132" customFormat="1" ht="15.75">
      <c r="A31" s="118" t="s">
        <v>83</v>
      </c>
      <c r="B31" s="255"/>
      <c r="C31" s="255">
        <f>$O31/12</f>
        <v>529.2008333333334</v>
      </c>
      <c r="D31" s="255">
        <f t="shared" si="23"/>
        <v>529.2008333333334</v>
      </c>
      <c r="E31" s="255">
        <f t="shared" si="23"/>
        <v>529.2008333333334</v>
      </c>
      <c r="F31" s="255">
        <f t="shared" si="23"/>
        <v>529.2008333333334</v>
      </c>
      <c r="G31" s="255">
        <f t="shared" si="23"/>
        <v>529.2008333333334</v>
      </c>
      <c r="H31" s="255">
        <f t="shared" si="23"/>
        <v>529.2008333333334</v>
      </c>
      <c r="I31" s="255">
        <f t="shared" si="23"/>
        <v>529.2008333333334</v>
      </c>
      <c r="J31" s="255">
        <f t="shared" si="23"/>
        <v>529.2008333333334</v>
      </c>
      <c r="K31" s="255">
        <f t="shared" si="23"/>
        <v>529.2008333333334</v>
      </c>
      <c r="L31" s="255">
        <f t="shared" si="23"/>
        <v>529.2008333333334</v>
      </c>
      <c r="M31" s="255">
        <f t="shared" si="23"/>
        <v>529.2008333333334</v>
      </c>
      <c r="N31" s="255">
        <f>$O31/12</f>
        <v>529.2008333333334</v>
      </c>
      <c r="O31" s="256">
        <f>(O28-O29-O30)*'Assumptions '!$C$54</f>
        <v>6350.410000000001</v>
      </c>
      <c r="P31" s="255">
        <f aca="true" t="shared" si="26" ref="P31:AA31">$AB31/12</f>
        <v>543.8495166666667</v>
      </c>
      <c r="Q31" s="255">
        <f t="shared" si="26"/>
        <v>543.8495166666667</v>
      </c>
      <c r="R31" s="255">
        <f t="shared" si="26"/>
        <v>543.8495166666667</v>
      </c>
      <c r="S31" s="255">
        <f t="shared" si="26"/>
        <v>543.8495166666667</v>
      </c>
      <c r="T31" s="255">
        <f t="shared" si="26"/>
        <v>543.8495166666667</v>
      </c>
      <c r="U31" s="255">
        <f t="shared" si="26"/>
        <v>543.8495166666667</v>
      </c>
      <c r="V31" s="255">
        <f t="shared" si="26"/>
        <v>543.8495166666667</v>
      </c>
      <c r="W31" s="255">
        <f t="shared" si="26"/>
        <v>543.8495166666667</v>
      </c>
      <c r="X31" s="255">
        <f t="shared" si="26"/>
        <v>543.8495166666667</v>
      </c>
      <c r="Y31" s="255">
        <f t="shared" si="26"/>
        <v>543.8495166666667</v>
      </c>
      <c r="Z31" s="255">
        <f t="shared" si="26"/>
        <v>543.8495166666667</v>
      </c>
      <c r="AA31" s="255">
        <f t="shared" si="26"/>
        <v>543.8495166666667</v>
      </c>
      <c r="AB31" s="256">
        <f>(AB28-AB29-AB30)*'Assumptions '!$C$54</f>
        <v>6526.1942</v>
      </c>
      <c r="AC31" s="255">
        <f aca="true" t="shared" si="27" ref="AC31:AN31">$AO31/12</f>
        <v>558.7911736666666</v>
      </c>
      <c r="AD31" s="255">
        <f t="shared" si="27"/>
        <v>558.7911736666666</v>
      </c>
      <c r="AE31" s="255">
        <f t="shared" si="27"/>
        <v>558.7911736666666</v>
      </c>
      <c r="AF31" s="255">
        <f t="shared" si="27"/>
        <v>558.7911736666666</v>
      </c>
      <c r="AG31" s="255">
        <f t="shared" si="27"/>
        <v>558.7911736666666</v>
      </c>
      <c r="AH31" s="255">
        <f t="shared" si="27"/>
        <v>558.7911736666666</v>
      </c>
      <c r="AI31" s="255">
        <f t="shared" si="27"/>
        <v>558.7911736666666</v>
      </c>
      <c r="AJ31" s="255">
        <f t="shared" si="27"/>
        <v>558.7911736666666</v>
      </c>
      <c r="AK31" s="255">
        <f t="shared" si="27"/>
        <v>558.7911736666666</v>
      </c>
      <c r="AL31" s="255">
        <f t="shared" si="27"/>
        <v>558.7911736666666</v>
      </c>
      <c r="AM31" s="255">
        <f t="shared" si="27"/>
        <v>558.7911736666666</v>
      </c>
      <c r="AN31" s="255">
        <f t="shared" si="27"/>
        <v>558.7911736666666</v>
      </c>
      <c r="AO31" s="256">
        <f>(AO28-AO29-AO30)*'Assumptions '!$C$54</f>
        <v>6705.494084</v>
      </c>
      <c r="AP31" s="256">
        <f>(AP28-AP29-AP30)*'Assumptions '!$C$54</f>
        <v>6349.62588824</v>
      </c>
      <c r="AQ31" s="256">
        <f>(AQ28-AQ29-AQ30)*'Assumptions '!$C$54</f>
        <v>6525.394406004801</v>
      </c>
      <c r="AR31" s="256">
        <f>(AR28-AR29-AR30)*'Assumptions '!$C$54</f>
        <v>6704.678294124896</v>
      </c>
      <c r="AS31" s="256">
        <f>(AS28-AS29-AS30)*'Assumptions '!$C$54</f>
        <v>6887.547860007396</v>
      </c>
      <c r="AT31" s="256">
        <f>(AT28-AT29-AT30)*'Assumptions '!$C$54</f>
        <v>7074.07481720754</v>
      </c>
      <c r="AU31" s="256">
        <f>(AU28-AU29-AU30)*'Assumptions '!$C$54</f>
        <v>7264.332313551691</v>
      </c>
      <c r="AV31" s="256">
        <f>(AV28-AV29-AV30)*'Assumptions '!$C$54</f>
        <v>3458.394959822726</v>
      </c>
      <c r="AW31" s="256">
        <f>(AW28-AW29-AW30)*'Assumptions '!$C$54</f>
        <v>8275.19794616212</v>
      </c>
      <c r="AX31" s="256">
        <f>(AX28-AX29-AX30)*'Assumptions '!$C$54</f>
        <v>8489.47790508536</v>
      </c>
      <c r="AY31" s="256">
        <f>(AY28-AY29-AY30)*'Assumptions '!$C$54</f>
        <v>8708.04346318707</v>
      </c>
      <c r="AZ31" s="256">
        <f>(AZ28-AZ29-AZ30)*'Assumptions '!$C$54</f>
        <v>8930.980332450808</v>
      </c>
      <c r="BA31" s="256">
        <f>(BA28-BA29-BA30)*'Assumptions '!$C$54</f>
        <v>1158.3759390998268</v>
      </c>
      <c r="BB31" s="256">
        <f>(BB28-BB29-BB30)*'Assumptions '!$C$54</f>
        <v>9390.31945788182</v>
      </c>
      <c r="BC31" s="256">
        <f>(BC28-BC29-BC30)*'Assumptions '!$C$54</f>
        <v>9626.901847039457</v>
      </c>
      <c r="BD31" s="256">
        <f>(BD28-BD29-BD30)*'Assumptions '!$C$54</f>
        <v>9868.21588398025</v>
      </c>
      <c r="BE31" s="256">
        <f>(BE28-BE29-BE30)*'Assumptions '!$C$54</f>
        <v>10114.356201659853</v>
      </c>
      <c r="BF31" s="256">
        <f>(BF28-BF29-BF30)*'Assumptions '!$C$54</f>
        <v>10365.419325693052</v>
      </c>
      <c r="BG31" s="256">
        <f>(BG28-BG29-BG30)*'Assumptions '!$C$54</f>
        <v>10621.503712206912</v>
      </c>
      <c r="BH31" s="256">
        <f>(BH28-BH29-BH30)*'Assumptions '!$C$54</f>
        <v>10882.709786451047</v>
      </c>
      <c r="BI31" s="256">
        <f>(BI28-BI29-BI30)*'Assumptions '!$C$54</f>
        <v>11149.139982180068</v>
      </c>
      <c r="BJ31" s="256">
        <f>(BJ28-BJ29-BJ30)*'Assumptions '!$C$54</f>
        <v>11420.898781823667</v>
      </c>
      <c r="BK31" s="256">
        <f>(BK28-BK29-BK30)*'Assumptions '!$C$54</f>
        <v>11698.092757460145</v>
      </c>
    </row>
    <row r="32" spans="1:63" s="134" customFormat="1" ht="16.5" thickBot="1">
      <c r="A32" s="125" t="s">
        <v>74</v>
      </c>
      <c r="B32" s="265"/>
      <c r="C32" s="265">
        <f>C28-SUM(C29:C31)</f>
        <v>2116.8033333333333</v>
      </c>
      <c r="D32" s="265">
        <f aca="true" t="shared" si="28" ref="D32:BE32">D28-SUM(D29:D31)</f>
        <v>2116.8033333333333</v>
      </c>
      <c r="E32" s="265">
        <f t="shared" si="28"/>
        <v>2116.8033333333333</v>
      </c>
      <c r="F32" s="265">
        <f t="shared" si="28"/>
        <v>2116.8033333333333</v>
      </c>
      <c r="G32" s="265">
        <f t="shared" si="28"/>
        <v>2116.8033333333333</v>
      </c>
      <c r="H32" s="265">
        <f t="shared" si="28"/>
        <v>2116.8033333333333</v>
      </c>
      <c r="I32" s="265">
        <f t="shared" si="28"/>
        <v>2116.8033333333333</v>
      </c>
      <c r="J32" s="265">
        <f t="shared" si="28"/>
        <v>2116.8033333333333</v>
      </c>
      <c r="K32" s="265">
        <f t="shared" si="28"/>
        <v>2116.8033333333333</v>
      </c>
      <c r="L32" s="265">
        <f t="shared" si="28"/>
        <v>2116.8033333333333</v>
      </c>
      <c r="M32" s="265">
        <f t="shared" si="28"/>
        <v>2116.8033333333333</v>
      </c>
      <c r="N32" s="265">
        <f t="shared" si="28"/>
        <v>2116.8033333333333</v>
      </c>
      <c r="O32" s="266">
        <f>O28-SUM(O29:O31)</f>
        <v>25401.640000000003</v>
      </c>
      <c r="P32" s="265">
        <f t="shared" si="28"/>
        <v>2175.398066666667</v>
      </c>
      <c r="Q32" s="265">
        <f t="shared" si="28"/>
        <v>2175.398066666667</v>
      </c>
      <c r="R32" s="265">
        <f t="shared" si="28"/>
        <v>2175.398066666667</v>
      </c>
      <c r="S32" s="265">
        <f t="shared" si="28"/>
        <v>2175.398066666667</v>
      </c>
      <c r="T32" s="265">
        <f t="shared" si="28"/>
        <v>2175.398066666667</v>
      </c>
      <c r="U32" s="265">
        <f t="shared" si="28"/>
        <v>2175.398066666667</v>
      </c>
      <c r="V32" s="265">
        <f t="shared" si="28"/>
        <v>2175.398066666667</v>
      </c>
      <c r="W32" s="265">
        <f t="shared" si="28"/>
        <v>2175.398066666667</v>
      </c>
      <c r="X32" s="265">
        <f t="shared" si="28"/>
        <v>2175.398066666667</v>
      </c>
      <c r="Y32" s="265">
        <f t="shared" si="28"/>
        <v>2175.398066666667</v>
      </c>
      <c r="Z32" s="265">
        <f t="shared" si="28"/>
        <v>2175.398066666667</v>
      </c>
      <c r="AA32" s="265">
        <f t="shared" si="28"/>
        <v>2175.398066666667</v>
      </c>
      <c r="AB32" s="266">
        <f t="shared" si="28"/>
        <v>26104.7768</v>
      </c>
      <c r="AC32" s="265">
        <f t="shared" si="28"/>
        <v>2235.164694666667</v>
      </c>
      <c r="AD32" s="265">
        <f t="shared" si="28"/>
        <v>2004.3565497666666</v>
      </c>
      <c r="AE32" s="265">
        <f t="shared" si="28"/>
        <v>1993.4131075686666</v>
      </c>
      <c r="AF32" s="265">
        <f t="shared" si="28"/>
        <v>1982.2507965267066</v>
      </c>
      <c r="AG32" s="265">
        <f t="shared" si="28"/>
        <v>1970.8652392639076</v>
      </c>
      <c r="AH32" s="265">
        <f t="shared" si="28"/>
        <v>1959.2519708558523</v>
      </c>
      <c r="AI32" s="265">
        <f t="shared" si="28"/>
        <v>1947.4064370796361</v>
      </c>
      <c r="AJ32" s="265">
        <f t="shared" si="28"/>
        <v>268.6573259612285</v>
      </c>
      <c r="AK32" s="265">
        <f t="shared" si="28"/>
        <v>2180.8578522633443</v>
      </c>
      <c r="AL32" s="265">
        <f t="shared" si="28"/>
        <v>2173.444436115278</v>
      </c>
      <c r="AM32" s="265">
        <f t="shared" si="28"/>
        <v>2165.8827516442498</v>
      </c>
      <c r="AN32" s="265">
        <f t="shared" si="28"/>
        <v>2158.169833483802</v>
      </c>
      <c r="AO32" s="266">
        <f t="shared" si="28"/>
        <v>26821.976336</v>
      </c>
      <c r="AP32" s="266">
        <f t="shared" si="28"/>
        <v>25398.50355296</v>
      </c>
      <c r="AQ32" s="266">
        <f t="shared" si="28"/>
        <v>26101.5776240192</v>
      </c>
      <c r="AR32" s="266">
        <f t="shared" si="28"/>
        <v>26818.71317649958</v>
      </c>
      <c r="AS32" s="266">
        <f t="shared" si="28"/>
        <v>27550.191440029583</v>
      </c>
      <c r="AT32" s="266">
        <f t="shared" si="28"/>
        <v>28296.29926883016</v>
      </c>
      <c r="AU32" s="266">
        <f t="shared" si="28"/>
        <v>29057.329254206765</v>
      </c>
      <c r="AV32" s="266">
        <f t="shared" si="28"/>
        <v>13833.579839290902</v>
      </c>
      <c r="AW32" s="266">
        <f t="shared" si="28"/>
        <v>33100.79178464848</v>
      </c>
      <c r="AX32" s="266">
        <f t="shared" si="28"/>
        <v>33957.91162034144</v>
      </c>
      <c r="AY32" s="266">
        <f t="shared" si="28"/>
        <v>34832.17385274828</v>
      </c>
      <c r="AZ32" s="266">
        <f t="shared" si="28"/>
        <v>35723.921329803234</v>
      </c>
      <c r="BA32" s="266">
        <f>BA28-SUM(BA29:BA31)</f>
        <v>4633.503756399306</v>
      </c>
      <c r="BB32" s="266">
        <f t="shared" si="28"/>
        <v>37561.27783152728</v>
      </c>
      <c r="BC32" s="266">
        <f t="shared" si="28"/>
        <v>38507.60738815783</v>
      </c>
      <c r="BD32" s="266">
        <f t="shared" si="28"/>
        <v>39472.863535920995</v>
      </c>
      <c r="BE32" s="266">
        <f t="shared" si="28"/>
        <v>40457.424806639414</v>
      </c>
      <c r="BF32" s="266">
        <f aca="true" t="shared" si="29" ref="BF32:BK32">BF28-SUM(BF29:BF31)</f>
        <v>41461.6773027722</v>
      </c>
      <c r="BG32" s="266">
        <f t="shared" si="29"/>
        <v>42486.01484882764</v>
      </c>
      <c r="BH32" s="266">
        <f t="shared" si="29"/>
        <v>43530.83914580419</v>
      </c>
      <c r="BI32" s="266">
        <f t="shared" si="29"/>
        <v>44596.55992872027</v>
      </c>
      <c r="BJ32" s="266">
        <f t="shared" si="29"/>
        <v>45683.59512729467</v>
      </c>
      <c r="BK32" s="266">
        <f t="shared" si="29"/>
        <v>46792.37102984057</v>
      </c>
    </row>
    <row r="33" spans="1:63" s="134" customFormat="1" ht="16.5" thickTop="1">
      <c r="A33" s="117"/>
      <c r="B33" s="314"/>
      <c r="C33" s="314"/>
      <c r="D33" s="314"/>
      <c r="E33" s="314"/>
      <c r="F33" s="314"/>
      <c r="G33" s="314"/>
      <c r="H33" s="314"/>
      <c r="I33" s="314"/>
      <c r="J33" s="314"/>
      <c r="K33" s="314"/>
      <c r="L33" s="314"/>
      <c r="M33" s="314"/>
      <c r="N33" s="314"/>
      <c r="O33" s="315"/>
      <c r="P33" s="314"/>
      <c r="Q33" s="314"/>
      <c r="R33" s="314"/>
      <c r="S33" s="314"/>
      <c r="T33" s="314"/>
      <c r="U33" s="314"/>
      <c r="V33" s="314"/>
      <c r="W33" s="314"/>
      <c r="X33" s="314"/>
      <c r="Y33" s="314"/>
      <c r="Z33" s="314"/>
      <c r="AA33" s="314"/>
      <c r="AB33" s="315"/>
      <c r="AC33" s="314"/>
      <c r="AD33" s="314"/>
      <c r="AE33" s="314"/>
      <c r="AF33" s="314"/>
      <c r="AG33" s="314"/>
      <c r="AH33" s="314"/>
      <c r="AI33" s="314"/>
      <c r="AJ33" s="314"/>
      <c r="AK33" s="314"/>
      <c r="AL33" s="314"/>
      <c r="AM33" s="314"/>
      <c r="AN33" s="314"/>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row>
    <row r="34" spans="1:134" s="145" customFormat="1" ht="15.75">
      <c r="A34" s="204" t="s">
        <v>104</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row>
    <row r="35" spans="1:63" s="132" customFormat="1" ht="15.75">
      <c r="A35" s="118" t="s">
        <v>119</v>
      </c>
      <c r="B35" s="255"/>
      <c r="C35" s="255">
        <f>$O35/12</f>
        <v>0</v>
      </c>
      <c r="D35" s="255">
        <f aca="true" t="shared" si="30" ref="D35:N38">$O35/12</f>
        <v>0</v>
      </c>
      <c r="E35" s="255">
        <f t="shared" si="30"/>
        <v>0</v>
      </c>
      <c r="F35" s="255">
        <f t="shared" si="30"/>
        <v>0</v>
      </c>
      <c r="G35" s="255">
        <f t="shared" si="30"/>
        <v>0</v>
      </c>
      <c r="H35" s="255">
        <f t="shared" si="30"/>
        <v>0</v>
      </c>
      <c r="I35" s="255">
        <f t="shared" si="30"/>
        <v>0</v>
      </c>
      <c r="J35" s="255">
        <f t="shared" si="30"/>
        <v>0</v>
      </c>
      <c r="K35" s="255">
        <f t="shared" si="30"/>
        <v>0</v>
      </c>
      <c r="L35" s="255">
        <f t="shared" si="30"/>
        <v>0</v>
      </c>
      <c r="M35" s="255">
        <f t="shared" si="30"/>
        <v>0</v>
      </c>
      <c r="N35" s="255">
        <f>$O35/12</f>
        <v>0</v>
      </c>
      <c r="O35" s="256">
        <f>IF(O2&lt;='Assumptions '!$E$73,((-'Pro Forma'!O32*'Assumptions '!$C$73)*('Assumptions '!$C$61)),((-'Pro Forma'!O32*'Assumptions '!$C$74)*('Assumptions '!$C$61)))</f>
        <v>0</v>
      </c>
      <c r="P35" s="264">
        <f>$AB35/12</f>
        <v>0</v>
      </c>
      <c r="Q35" s="264">
        <f aca="true" t="shared" si="31" ref="Q35:AA38">$AB35/12</f>
        <v>0</v>
      </c>
      <c r="R35" s="264">
        <f t="shared" si="31"/>
        <v>0</v>
      </c>
      <c r="S35" s="264">
        <f t="shared" si="31"/>
        <v>0</v>
      </c>
      <c r="T35" s="264">
        <f t="shared" si="31"/>
        <v>0</v>
      </c>
      <c r="U35" s="264">
        <f t="shared" si="31"/>
        <v>0</v>
      </c>
      <c r="V35" s="264">
        <f t="shared" si="31"/>
        <v>0</v>
      </c>
      <c r="W35" s="264">
        <f t="shared" si="31"/>
        <v>0</v>
      </c>
      <c r="X35" s="264">
        <f t="shared" si="31"/>
        <v>0</v>
      </c>
      <c r="Y35" s="264">
        <f t="shared" si="31"/>
        <v>0</v>
      </c>
      <c r="Z35" s="264">
        <f t="shared" si="31"/>
        <v>0</v>
      </c>
      <c r="AA35" s="264">
        <f t="shared" si="31"/>
        <v>0</v>
      </c>
      <c r="AB35" s="256">
        <f>IF(AB2&lt;='Assumptions '!$E$73,((-'Pro Forma'!AB32*'Assumptions '!$C$73)*('Assumptions '!$C$61)),((-'Pro Forma'!AB32*'Assumptions '!$C$74)*('Assumptions '!$C$61)))</f>
        <v>0</v>
      </c>
      <c r="AC35" s="264">
        <f>$AO35/12</f>
        <v>0</v>
      </c>
      <c r="AD35" s="264">
        <f aca="true" t="shared" si="32" ref="AD35:AN38">$AO35/12</f>
        <v>0</v>
      </c>
      <c r="AE35" s="264">
        <f t="shared" si="32"/>
        <v>0</v>
      </c>
      <c r="AF35" s="264">
        <f t="shared" si="32"/>
        <v>0</v>
      </c>
      <c r="AG35" s="264">
        <f t="shared" si="32"/>
        <v>0</v>
      </c>
      <c r="AH35" s="264">
        <f t="shared" si="32"/>
        <v>0</v>
      </c>
      <c r="AI35" s="264">
        <f t="shared" si="32"/>
        <v>0</v>
      </c>
      <c r="AJ35" s="264">
        <f t="shared" si="32"/>
        <v>0</v>
      </c>
      <c r="AK35" s="264">
        <f t="shared" si="32"/>
        <v>0</v>
      </c>
      <c r="AL35" s="264">
        <f t="shared" si="32"/>
        <v>0</v>
      </c>
      <c r="AM35" s="264">
        <f t="shared" si="32"/>
        <v>0</v>
      </c>
      <c r="AN35" s="264">
        <f t="shared" si="32"/>
        <v>0</v>
      </c>
      <c r="AO35" s="256">
        <f>IF(AO2&lt;='Assumptions '!$E$73,((-'Pro Forma'!AO32*'Assumptions '!$C$73)*('Assumptions '!$C$61)),((-'Pro Forma'!AO32*'Assumptions '!$C$74)*('Assumptions '!$C$61)))</f>
        <v>0</v>
      </c>
      <c r="AP35" s="256">
        <f>IF(AP2&lt;='Assumptions '!$E$73,((-'Pro Forma'!AP32*'Assumptions '!$C$73)*('Assumptions '!$C$61)),((-'Pro Forma'!AP32*'Assumptions '!$C$74)*('Assumptions '!$C$61)))</f>
        <v>0</v>
      </c>
      <c r="AQ35" s="256">
        <f>IF(AQ2&lt;='Assumptions '!$E$73,((-'Pro Forma'!AQ32*'Assumptions '!$C$73)*('Assumptions '!$C$61)),((-'Pro Forma'!AQ32*'Assumptions '!$C$74)*('Assumptions '!$C$61)))</f>
        <v>0</v>
      </c>
      <c r="AR35" s="256">
        <f>IF(AR2&lt;='Assumptions '!$E$73,((-'Pro Forma'!AR32*'Assumptions '!$C$73)*('Assumptions '!$C$61)),((-'Pro Forma'!AR32*'Assumptions '!$C$74)*('Assumptions '!$C$61)))</f>
        <v>0</v>
      </c>
      <c r="AS35" s="256">
        <f>IF(AS2&lt;='Assumptions '!$E$73,((-'Pro Forma'!AS32*'Assumptions '!$C$73)*('Assumptions '!$C$61)),((-'Pro Forma'!AS32*'Assumptions '!$C$74)*('Assumptions '!$C$61)))</f>
        <v>0</v>
      </c>
      <c r="AT35" s="256">
        <f>IF(AT2&lt;='Assumptions '!$E$73,((-'Pro Forma'!AT32*'Assumptions '!$C$73)*('Assumptions '!$C$61)),((-'Pro Forma'!AT32*'Assumptions '!$C$74)*('Assumptions '!$C$61)))</f>
        <v>0</v>
      </c>
      <c r="AU35" s="256">
        <f>IF(AU2&lt;='Assumptions '!$E$73,((-'Pro Forma'!AU32*'Assumptions '!$C$73)*('Assumptions '!$C$61)),((-'Pro Forma'!AU32*'Assumptions '!$C$74)*('Assumptions '!$C$61)))</f>
        <v>0</v>
      </c>
      <c r="AV35" s="256">
        <f>IF(AV2&lt;='Assumptions '!$E$73,((-'Pro Forma'!AV32*'Assumptions '!$C$73)*('Assumptions '!$C$61)),((-'Pro Forma'!AV32*'Assumptions '!$C$74)*('Assumptions '!$C$61)))</f>
        <v>0</v>
      </c>
      <c r="AW35" s="256">
        <f>IF(AW2&lt;='Assumptions '!$E$73,((-'Pro Forma'!AW32*'Assumptions '!$C$73)*('Assumptions '!$C$61)),((-'Pro Forma'!AW32*'Assumptions '!$C$74)*('Assumptions '!$C$61)))</f>
        <v>0</v>
      </c>
      <c r="AX35" s="256">
        <f>IF(AX2&lt;='Assumptions '!$E$73,((-'Pro Forma'!AX32*'Assumptions '!$C$73)*('Assumptions '!$C$61)),((-'Pro Forma'!AX32*'Assumptions '!$C$74)*('Assumptions '!$C$61)))</f>
        <v>0</v>
      </c>
      <c r="AY35" s="256">
        <f>IF(AY2&lt;='Assumptions '!$E$73,((-'Pro Forma'!AY32*'Assumptions '!$C$73)*('Assumptions '!$C$61)),((-'Pro Forma'!AY32*'Assumptions '!$C$74)*('Assumptions '!$C$61)))</f>
        <v>0</v>
      </c>
      <c r="AZ35" s="256">
        <f>IF(AZ2&lt;='Assumptions '!$E$73,((-'Pro Forma'!AZ32*'Assumptions '!$C$73)*('Assumptions '!$C$61)),((-'Pro Forma'!AZ32*'Assumptions '!$C$74)*('Assumptions '!$C$61)))</f>
        <v>0</v>
      </c>
      <c r="BA35" s="256">
        <f>IF(BA2&lt;='Assumptions '!$E$73,((-'Pro Forma'!BA32*'Assumptions '!$C$73)*('Assumptions '!$C$61)),((-'Pro Forma'!BA32*'Assumptions '!$C$74)*('Assumptions '!$C$61)))</f>
        <v>0</v>
      </c>
      <c r="BB35" s="256">
        <f>IF(BB2&lt;='Assumptions '!$E$73,((-'Pro Forma'!BB32*'Assumptions '!$C$73)*('Assumptions '!$C$61)),((-'Pro Forma'!BB32*'Assumptions '!$C$74)*('Assumptions '!$C$61)))</f>
        <v>0</v>
      </c>
      <c r="BC35" s="256">
        <f>IF(BC2&lt;='Assumptions '!$E$73,((-'Pro Forma'!BC32*'Assumptions '!$C$73)*('Assumptions '!$C$61)),((-'Pro Forma'!BC32*'Assumptions '!$C$74)*('Assumptions '!$C$61)))</f>
        <v>0</v>
      </c>
      <c r="BD35" s="256">
        <f>IF(BD2&lt;='Assumptions '!$E$73,((-'Pro Forma'!BD32*'Assumptions '!$C$73)*('Assumptions '!$C$61)),((-'Pro Forma'!BD32*'Assumptions '!$C$74)*('Assumptions '!$C$61)))</f>
        <v>0</v>
      </c>
      <c r="BE35" s="256">
        <f>IF(BE2&lt;='Assumptions '!$E$73,((-'Pro Forma'!BE32*'Assumptions '!$C$73)*('Assumptions '!$C$61)),((-'Pro Forma'!BE32*'Assumptions '!$C$74)*('Assumptions '!$C$61)))</f>
        <v>0</v>
      </c>
      <c r="BF35" s="256">
        <f>IF(BF2&lt;='Assumptions '!$E$73,((-'Pro Forma'!BF32*'Assumptions '!$C$73)*('Assumptions '!$C$61)),((-'Pro Forma'!BF32*'Assumptions '!$C$74)*('Assumptions '!$C$61)))</f>
        <v>0</v>
      </c>
      <c r="BG35" s="256">
        <f>IF(BG2&lt;='Assumptions '!$E$73,((-'Pro Forma'!BG32*'Assumptions '!$C$73)*('Assumptions '!$C$61)),((-'Pro Forma'!BG32*'Assumptions '!$C$74)*('Assumptions '!$C$61)))</f>
        <v>0</v>
      </c>
      <c r="BH35" s="256">
        <f>IF(BH2&lt;='Assumptions '!$E$73,((-'Pro Forma'!BH32*'Assumptions '!$C$73)*('Assumptions '!$C$61)),((-'Pro Forma'!BH32*'Assumptions '!$C$74)*('Assumptions '!$C$61)))</f>
        <v>0</v>
      </c>
      <c r="BI35" s="256">
        <f>IF(BI2&lt;='Assumptions '!$E$73,((-'Pro Forma'!BI32*'Assumptions '!$C$73)*('Assumptions '!$C$61)),((-'Pro Forma'!BI32*'Assumptions '!$C$74)*('Assumptions '!$C$61)))</f>
        <v>0</v>
      </c>
      <c r="BJ35" s="256">
        <f>IF(BJ2&lt;='Assumptions '!$E$73,((-'Pro Forma'!BJ32*'Assumptions '!$C$73)*('Assumptions '!$C$61)),((-'Pro Forma'!BJ32*'Assumptions '!$C$74)*('Assumptions '!$C$61)))</f>
        <v>0</v>
      </c>
      <c r="BK35" s="256">
        <f>IF(BK2&lt;='Assumptions '!$E$73,((-'Pro Forma'!BK32*'Assumptions '!$C$73)*('Assumptions '!$C$61)),((-'Pro Forma'!BK32*'Assumptions '!$C$74)*('Assumptions '!$C$61)))</f>
        <v>0</v>
      </c>
    </row>
    <row r="36" spans="1:63" s="132" customFormat="1" ht="15.75">
      <c r="A36" s="118" t="s">
        <v>120</v>
      </c>
      <c r="B36" s="255"/>
      <c r="C36" s="255">
        <f>$O36/12</f>
        <v>0</v>
      </c>
      <c r="D36" s="255">
        <f t="shared" si="30"/>
        <v>0</v>
      </c>
      <c r="E36" s="255">
        <f t="shared" si="30"/>
        <v>0</v>
      </c>
      <c r="F36" s="255">
        <f t="shared" si="30"/>
        <v>0</v>
      </c>
      <c r="G36" s="255">
        <f t="shared" si="30"/>
        <v>0</v>
      </c>
      <c r="H36" s="255">
        <f t="shared" si="30"/>
        <v>0</v>
      </c>
      <c r="I36" s="255">
        <f t="shared" si="30"/>
        <v>0</v>
      </c>
      <c r="J36" s="255">
        <f t="shared" si="30"/>
        <v>0</v>
      </c>
      <c r="K36" s="255">
        <f t="shared" si="30"/>
        <v>0</v>
      </c>
      <c r="L36" s="255">
        <f t="shared" si="30"/>
        <v>0</v>
      </c>
      <c r="M36" s="255">
        <f t="shared" si="30"/>
        <v>0</v>
      </c>
      <c r="N36" s="255">
        <f t="shared" si="30"/>
        <v>0</v>
      </c>
      <c r="O36" s="256">
        <f>IF(O$2&lt;='Assumptions '!$D$75,((-'Pro Forma'!O32*'Assumptions '!$C$75)*('Assumptions '!$C$67)),((-'Pro Forma'!O32*'Assumptions '!$C$76)*('Assumptions '!$C$67)))</f>
        <v>0</v>
      </c>
      <c r="P36" s="264">
        <f>$AB36/12</f>
        <v>0</v>
      </c>
      <c r="Q36" s="264">
        <f t="shared" si="31"/>
        <v>0</v>
      </c>
      <c r="R36" s="264">
        <f t="shared" si="31"/>
        <v>0</v>
      </c>
      <c r="S36" s="264">
        <f t="shared" si="31"/>
        <v>0</v>
      </c>
      <c r="T36" s="264">
        <f t="shared" si="31"/>
        <v>0</v>
      </c>
      <c r="U36" s="264">
        <f t="shared" si="31"/>
        <v>0</v>
      </c>
      <c r="V36" s="264">
        <f t="shared" si="31"/>
        <v>0</v>
      </c>
      <c r="W36" s="264">
        <f t="shared" si="31"/>
        <v>0</v>
      </c>
      <c r="X36" s="264">
        <f t="shared" si="31"/>
        <v>0</v>
      </c>
      <c r="Y36" s="264">
        <f t="shared" si="31"/>
        <v>0</v>
      </c>
      <c r="Z36" s="264">
        <f t="shared" si="31"/>
        <v>0</v>
      </c>
      <c r="AA36" s="264">
        <f t="shared" si="31"/>
        <v>0</v>
      </c>
      <c r="AB36" s="256">
        <f>IF(AB$2&lt;='Assumptions '!$E$75,((-'Pro Forma'!AB32*'Assumptions '!$C$75)*('Assumptions '!$C$67)),((-'Pro Forma'!AB32*'Assumptions '!$C$76)*('Assumptions '!$C$67)))</f>
        <v>0</v>
      </c>
      <c r="AC36" s="264">
        <f>$AO36/12</f>
        <v>0</v>
      </c>
      <c r="AD36" s="264">
        <f t="shared" si="32"/>
        <v>0</v>
      </c>
      <c r="AE36" s="264">
        <f t="shared" si="32"/>
        <v>0</v>
      </c>
      <c r="AF36" s="264">
        <f t="shared" si="32"/>
        <v>0</v>
      </c>
      <c r="AG36" s="264">
        <f t="shared" si="32"/>
        <v>0</v>
      </c>
      <c r="AH36" s="264">
        <f t="shared" si="32"/>
        <v>0</v>
      </c>
      <c r="AI36" s="264">
        <f t="shared" si="32"/>
        <v>0</v>
      </c>
      <c r="AJ36" s="264">
        <f t="shared" si="32"/>
        <v>0</v>
      </c>
      <c r="AK36" s="264">
        <f t="shared" si="32"/>
        <v>0</v>
      </c>
      <c r="AL36" s="264">
        <f t="shared" si="32"/>
        <v>0</v>
      </c>
      <c r="AM36" s="264">
        <f t="shared" si="32"/>
        <v>0</v>
      </c>
      <c r="AN36" s="264">
        <f t="shared" si="32"/>
        <v>0</v>
      </c>
      <c r="AO36" s="256">
        <f>IF(AO$2&lt;='Assumptions '!$E$75,((-'Pro Forma'!AO32*'Assumptions '!$C$75)*('Assumptions '!$C$67)),((-'Pro Forma'!AO32*'Assumptions '!$C$76)*('Assumptions '!$C$67)))</f>
        <v>0</v>
      </c>
      <c r="AP36" s="256">
        <f>IF(AP$2&lt;='Assumptions '!$E$75,((-'Pro Forma'!AP32*'Assumptions '!$C$75)*('Assumptions '!$C$67)),((-'Pro Forma'!AP32*'Assumptions '!$C$76)*('Assumptions '!$C$67)))</f>
        <v>0</v>
      </c>
      <c r="AQ36" s="256">
        <f>IF(AQ$2&lt;='Assumptions '!$E$75,((-'Pro Forma'!AQ32*'Assumptions '!$C$75)*('Assumptions '!$C$67)),((-'Pro Forma'!AQ32*'Assumptions '!$C$76)*('Assumptions '!$C$67)))</f>
        <v>0</v>
      </c>
      <c r="AR36" s="256">
        <f>IF(AR$2&lt;='Assumptions '!$E$75,((-'Pro Forma'!AR32*'Assumptions '!$C$75)*('Assumptions '!$C$67)),((-'Pro Forma'!AR32*'Assumptions '!$C$76)*('Assumptions '!$C$67)))</f>
        <v>0</v>
      </c>
      <c r="AS36" s="256">
        <f>IF(AS$2&lt;='Assumptions '!$E$75,((-'Pro Forma'!AS32*'Assumptions '!$C$75)*('Assumptions '!$C$67)),((-'Pro Forma'!AS32*'Assumptions '!$C$76)*('Assumptions '!$C$67)))</f>
        <v>0</v>
      </c>
      <c r="AT36" s="256">
        <f>IF(AT$2&lt;='Assumptions '!$E$75,((-'Pro Forma'!AT32*'Assumptions '!$C$75)*('Assumptions '!$C$67)),((-'Pro Forma'!AT32*'Assumptions '!$C$76)*('Assumptions '!$C$67)))</f>
        <v>0</v>
      </c>
      <c r="AU36" s="256">
        <f>IF(AU$2&lt;='Assumptions '!$E$75,((-'Pro Forma'!AU32*'Assumptions '!$C$75)*('Assumptions '!$C$67)),((-'Pro Forma'!AU32*'Assumptions '!$C$76)*('Assumptions '!$C$67)))</f>
        <v>0</v>
      </c>
      <c r="AV36" s="256">
        <f>IF(AV$2&lt;='Assumptions '!$E$75,((-'Pro Forma'!AV32*'Assumptions '!$C$75)*('Assumptions '!$C$67)),((-'Pro Forma'!AV32*'Assumptions '!$C$76)*('Assumptions '!$C$67)))</f>
        <v>0</v>
      </c>
      <c r="AW36" s="256">
        <f>IF(AW$2&lt;='Assumptions '!$E$75,((-'Pro Forma'!AW32*'Assumptions '!$C$75)*('Assumptions '!$C$67)),((-'Pro Forma'!AW32*'Assumptions '!$C$76)*('Assumptions '!$C$67)))</f>
        <v>0</v>
      </c>
      <c r="AX36" s="256">
        <f>IF(AX$2&lt;='Assumptions '!$E$75,((-'Pro Forma'!AX32*'Assumptions '!$C$75)*('Assumptions '!$C$67)),((-'Pro Forma'!AX32*'Assumptions '!$C$76)*('Assumptions '!$C$67)))</f>
        <v>0</v>
      </c>
      <c r="AY36" s="256">
        <f>IF(AY$2&lt;='Assumptions '!$E$75,((-'Pro Forma'!AY32*'Assumptions '!$C$75)*('Assumptions '!$C$67)),((-'Pro Forma'!AY32*'Assumptions '!$C$76)*('Assumptions '!$C$67)))</f>
        <v>0</v>
      </c>
      <c r="AZ36" s="256">
        <f>IF(AZ$2&lt;='Assumptions '!$E$75,((-'Pro Forma'!AZ32*'Assumptions '!$C$75)*('Assumptions '!$C$67)),((-'Pro Forma'!AZ32*'Assumptions '!$C$76)*('Assumptions '!$C$67)))</f>
        <v>0</v>
      </c>
      <c r="BA36" s="256">
        <f>IF(BA$2&lt;='Assumptions '!$E$75,((-'Pro Forma'!BA32*'Assumptions '!$C$75)*('Assumptions '!$C$67)),((-'Pro Forma'!BA32*'Assumptions '!$C$76)*('Assumptions '!$C$67)))</f>
        <v>0</v>
      </c>
      <c r="BB36" s="256">
        <f>IF(BB$2&lt;='Assumptions '!$E$75,((-'Pro Forma'!BB32*'Assumptions '!$C$75)*('Assumptions '!$C$67)),((-'Pro Forma'!BB32*'Assumptions '!$C$76)*('Assumptions '!$C$67)))</f>
        <v>0</v>
      </c>
      <c r="BC36" s="256">
        <f>IF(BC$2&lt;='Assumptions '!$E$75,((-'Pro Forma'!BC32*'Assumptions '!$C$75)*('Assumptions '!$C$67)),((-'Pro Forma'!BC32*'Assumptions '!$C$76)*('Assumptions '!$C$67)))</f>
        <v>0</v>
      </c>
      <c r="BD36" s="256">
        <f>IF(BD$2&lt;='Assumptions '!$E$75,((-'Pro Forma'!BD32*'Assumptions '!$C$75)*('Assumptions '!$C$67)),((-'Pro Forma'!BD32*'Assumptions '!$C$76)*('Assumptions '!$C$67)))</f>
        <v>0</v>
      </c>
      <c r="BE36" s="256">
        <f>IF(BE$2&lt;='Assumptions '!$E$75,((-'Pro Forma'!BE32*'Assumptions '!$C$75)*('Assumptions '!$C$67)),((-'Pro Forma'!BE32*'Assumptions '!$C$76)*('Assumptions '!$C$67)))</f>
        <v>0</v>
      </c>
      <c r="BF36" s="256">
        <f>IF(BF$2&lt;='Assumptions '!$E$75,((-'Pro Forma'!BF32*'Assumptions '!$C$75)*('Assumptions '!$C$67)),((-'Pro Forma'!BF32*'Assumptions '!$C$76)*('Assumptions '!$C$67)))</f>
        <v>0</v>
      </c>
      <c r="BG36" s="256">
        <f>IF(BG$2&lt;='Assumptions '!$E$75,((-'Pro Forma'!BG32*'Assumptions '!$C$75)*('Assumptions '!$C$67)),((-'Pro Forma'!BG32*'Assumptions '!$C$76)*('Assumptions '!$C$67)))</f>
        <v>0</v>
      </c>
      <c r="BH36" s="256">
        <f>IF(BH$2&lt;='Assumptions '!$E$75,((-'Pro Forma'!BH32*'Assumptions '!$C$75)*('Assumptions '!$C$67)),((-'Pro Forma'!BH32*'Assumptions '!$C$76)*('Assumptions '!$C$67)))</f>
        <v>0</v>
      </c>
      <c r="BI36" s="256">
        <f>IF(BI$2&lt;='Assumptions '!$E$75,((-'Pro Forma'!BI32*'Assumptions '!$C$75)*('Assumptions '!$C$67)),((-'Pro Forma'!BI32*'Assumptions '!$C$76)*('Assumptions '!$C$67)))</f>
        <v>0</v>
      </c>
      <c r="BJ36" s="256">
        <f>IF(BJ$2&lt;='Assumptions '!$E$75,((-'Pro Forma'!BJ32*'Assumptions '!$C$75)*('Assumptions '!$C$67)),((-'Pro Forma'!BJ32*'Assumptions '!$C$76)*('Assumptions '!$C$67)))</f>
        <v>0</v>
      </c>
      <c r="BK36" s="256">
        <f>IF(BK$2&lt;='Assumptions '!$E$75,((-'Pro Forma'!BK32*'Assumptions '!$C$75)*('Assumptions '!$C$67)),((-'Pro Forma'!BK32*'Assumptions '!$C$76)*('Assumptions '!$C$67)))</f>
        <v>0</v>
      </c>
    </row>
    <row r="37" spans="1:63" s="132" customFormat="1" ht="15.75">
      <c r="A37" s="118" t="str">
        <f>'Assumptions '!B30</f>
        <v>Tax Credit #1 ((%)</v>
      </c>
      <c r="B37" s="255"/>
      <c r="C37" s="255">
        <f>$O37/12</f>
        <v>0</v>
      </c>
      <c r="D37" s="255">
        <f t="shared" si="30"/>
        <v>0</v>
      </c>
      <c r="E37" s="255">
        <f t="shared" si="30"/>
        <v>0</v>
      </c>
      <c r="F37" s="255">
        <f t="shared" si="30"/>
        <v>0</v>
      </c>
      <c r="G37" s="255">
        <f t="shared" si="30"/>
        <v>0</v>
      </c>
      <c r="H37" s="255">
        <f t="shared" si="30"/>
        <v>0</v>
      </c>
      <c r="I37" s="255">
        <f t="shared" si="30"/>
        <v>0</v>
      </c>
      <c r="J37" s="255">
        <f t="shared" si="30"/>
        <v>0</v>
      </c>
      <c r="K37" s="255">
        <f t="shared" si="30"/>
        <v>0</v>
      </c>
      <c r="L37" s="255">
        <f t="shared" si="30"/>
        <v>0</v>
      </c>
      <c r="M37" s="255">
        <f t="shared" si="30"/>
        <v>0</v>
      </c>
      <c r="N37" s="255">
        <f t="shared" si="30"/>
        <v>0</v>
      </c>
      <c r="O37" s="256">
        <f>IF(AND('Pro Forma'!O$2&gt;='Assumptions '!$E$30,'Pro Forma'!O$2&lt;='Assumptions '!$F$30),('Assumptions '!$D$38*'Assumptions '!$C$30)/('Assumptions '!$F$30/'Assumptions '!$E$30),($B$2))</f>
        <v>0</v>
      </c>
      <c r="P37" s="256">
        <f>IF(AND('Pro Forma'!P$2&gt;='Assumptions '!$E$30,'Pro Forma'!P$2&lt;='Assumptions '!$F$30),('Assumptions '!$D$38*'Assumptions '!$C$30)/('Assumptions '!$F$30/'Assumptions '!$E$30))</f>
        <v>0</v>
      </c>
      <c r="Q37" s="256" t="b">
        <f>IF(AND('Pro Forma'!Q$2&gt;='Assumptions '!$E$30,'Pro Forma'!Q$2&lt;='Assumptions '!$F$30),('Assumptions '!$D$38*'Assumptions '!$C$30)/('Assumptions '!$F$30/'Assumptions '!$E$30))</f>
        <v>0</v>
      </c>
      <c r="R37" s="256" t="b">
        <f>IF(AND('Pro Forma'!R$2&gt;='Assumptions '!$E$30,'Pro Forma'!R$2&lt;='Assumptions '!$F$30),('Assumptions '!$D$38*'Assumptions '!$C$30)/('Assumptions '!$F$30/'Assumptions '!$E$30))</f>
        <v>0</v>
      </c>
      <c r="S37" s="256" t="b">
        <f>IF(AND('Pro Forma'!S$2&gt;='Assumptions '!$E$30,'Pro Forma'!S$2&lt;='Assumptions '!$F$30),('Assumptions '!$D$38*'Assumptions '!$C$30)/('Assumptions '!$F$30/'Assumptions '!$E$30))</f>
        <v>0</v>
      </c>
      <c r="T37" s="256" t="b">
        <f>IF(AND('Pro Forma'!T$2&gt;='Assumptions '!$E$30,'Pro Forma'!T$2&lt;='Assumptions '!$F$30),('Assumptions '!$D$38*'Assumptions '!$C$30)/('Assumptions '!$F$30/'Assumptions '!$E$30))</f>
        <v>0</v>
      </c>
      <c r="U37" s="256" t="b">
        <f>IF(AND('Pro Forma'!U$2&gt;='Assumptions '!$E$30,'Pro Forma'!U$2&lt;='Assumptions '!$F$30),('Assumptions '!$D$38*'Assumptions '!$C$30)/('Assumptions '!$F$30/'Assumptions '!$E$30))</f>
        <v>0</v>
      </c>
      <c r="V37" s="256" t="b">
        <f>IF(AND('Pro Forma'!V$2&gt;='Assumptions '!$E$30,'Pro Forma'!V$2&lt;='Assumptions '!$F$30),('Assumptions '!$D$38*'Assumptions '!$C$30)/('Assumptions '!$F$30/'Assumptions '!$E$30))</f>
        <v>0</v>
      </c>
      <c r="W37" s="256" t="b">
        <f>IF(AND('Pro Forma'!W$2&gt;='Assumptions '!$E$30,'Pro Forma'!W$2&lt;='Assumptions '!$F$30),('Assumptions '!$D$38*'Assumptions '!$C$30)/('Assumptions '!$F$30/'Assumptions '!$E$30))</f>
        <v>0</v>
      </c>
      <c r="X37" s="256" t="b">
        <f>IF(AND('Pro Forma'!X$2&gt;='Assumptions '!$E$30,'Pro Forma'!X$2&lt;='Assumptions '!$F$30),('Assumptions '!$D$38*'Assumptions '!$C$30)/('Assumptions '!$F$30/'Assumptions '!$E$30))</f>
        <v>0</v>
      </c>
      <c r="Y37" s="256" t="b">
        <f>IF(AND('Pro Forma'!Y$2&gt;='Assumptions '!$E$30,'Pro Forma'!Y$2&lt;='Assumptions '!$F$30),('Assumptions '!$D$38*'Assumptions '!$C$30)/('Assumptions '!$F$30/'Assumptions '!$E$30))</f>
        <v>0</v>
      </c>
      <c r="Z37" s="256" t="b">
        <f>IF(AND('Pro Forma'!Z$2&gt;='Assumptions '!$E$30,'Pro Forma'!Z$2&lt;='Assumptions '!$F$30),('Assumptions '!$D$38*'Assumptions '!$C$30)/('Assumptions '!$F$30/'Assumptions '!$E$30))</f>
        <v>0</v>
      </c>
      <c r="AA37" s="256" t="b">
        <f>IF(AND('Pro Forma'!AA$2&gt;='Assumptions '!$E$30,'Pro Forma'!AA$2&lt;='Assumptions '!$F$30),('Assumptions '!$D$38*'Assumptions '!$C$30)/('Assumptions '!$F$30/'Assumptions '!$E$30))</f>
        <v>0</v>
      </c>
      <c r="AB37" s="256">
        <f>IF(AND('Pro Forma'!AB$2&gt;='Assumptions '!$E$30,'Pro Forma'!AB$2&lt;='Assumptions '!$F$30),('Assumptions '!$D$38*'Assumptions '!$C$30)/('Assumptions '!$F$30/'Assumptions '!$E$30),($B$2))</f>
        <v>0</v>
      </c>
      <c r="AC37" s="264">
        <f>$AO37/12</f>
        <v>0</v>
      </c>
      <c r="AD37" s="264">
        <f t="shared" si="32"/>
        <v>0</v>
      </c>
      <c r="AE37" s="264">
        <f t="shared" si="32"/>
        <v>0</v>
      </c>
      <c r="AF37" s="264">
        <f t="shared" si="32"/>
        <v>0</v>
      </c>
      <c r="AG37" s="264">
        <f t="shared" si="32"/>
        <v>0</v>
      </c>
      <c r="AH37" s="264">
        <f t="shared" si="32"/>
        <v>0</v>
      </c>
      <c r="AI37" s="264">
        <f t="shared" si="32"/>
        <v>0</v>
      </c>
      <c r="AJ37" s="264">
        <f t="shared" si="32"/>
        <v>0</v>
      </c>
      <c r="AK37" s="264">
        <f t="shared" si="32"/>
        <v>0</v>
      </c>
      <c r="AL37" s="264">
        <f t="shared" si="32"/>
        <v>0</v>
      </c>
      <c r="AM37" s="264">
        <f t="shared" si="32"/>
        <v>0</v>
      </c>
      <c r="AN37" s="264">
        <f t="shared" si="32"/>
        <v>0</v>
      </c>
      <c r="AO37" s="256">
        <f>IF(AND('Pro Forma'!AO$2&gt;='Assumptions '!$E$30,'Pro Forma'!AO$2&lt;='Assumptions '!$F$30),('Assumptions '!$D$38*'Assumptions '!$C$30)/('Assumptions '!$F$30/'Assumptions '!$E$30),($B$2))</f>
        <v>0</v>
      </c>
      <c r="AP37" s="256">
        <f>IF(AND('Pro Forma'!AP$2&gt;='Assumptions '!$E$30,'Pro Forma'!AP$2&lt;='Assumptions '!$F$30),('Assumptions '!$D$38*'Assumptions '!$C$30)/('Assumptions '!$F$30/'Assumptions '!$E$30),($B$2))</f>
        <v>0</v>
      </c>
      <c r="AQ37" s="256">
        <f>IF(AND('Pro Forma'!AQ$2&gt;='Assumptions '!$E$30,'Pro Forma'!AQ$2&lt;='Assumptions '!$F$30),('Assumptions '!$D$38*'Assumptions '!$C$30)/('Assumptions '!$F$30/'Assumptions '!$E$30),($B$2))</f>
        <v>0</v>
      </c>
      <c r="AR37" s="256">
        <f>IF(AND('Pro Forma'!AR$2&gt;='Assumptions '!$E$30,'Pro Forma'!AR$2&lt;='Assumptions '!$F$30),('Assumptions '!$D$38*'Assumptions '!$C$30)/('Assumptions '!$F$30/'Assumptions '!$E$30),($B$2))</f>
        <v>0</v>
      </c>
      <c r="AS37" s="256">
        <f>IF(AND('Pro Forma'!AS$2&gt;='Assumptions '!$E$30,'Pro Forma'!AS$2&lt;='Assumptions '!$F$30),('Assumptions '!$D$38*'Assumptions '!$C$30)/('Assumptions '!$F$30/'Assumptions '!$E$30),($B$2))</f>
        <v>0</v>
      </c>
      <c r="AT37" s="256">
        <f>IF(AND('Pro Forma'!AT$2&gt;='Assumptions '!$E$30,'Pro Forma'!AT$2&lt;='Assumptions '!$F$30),('Assumptions '!$D$38*'Assumptions '!$C$30)/('Assumptions '!$F$30/'Assumptions '!$E$30),($B$2))</f>
        <v>0</v>
      </c>
      <c r="AU37" s="256">
        <f>IF(AND('Pro Forma'!AU$2&gt;='Assumptions '!$E$30,'Pro Forma'!AU$2&lt;='Assumptions '!$F$30),('Assumptions '!$D$38*'Assumptions '!$C$30)/('Assumptions '!$F$30/'Assumptions '!$E$30),($B$2))</f>
        <v>0</v>
      </c>
      <c r="AV37" s="256">
        <f>IF(AND('Pro Forma'!AV$2&gt;='Assumptions '!$E$30,'Pro Forma'!AV$2&lt;='Assumptions '!$F$30),('Assumptions '!$D$38*'Assumptions '!$C$30)/('Assumptions '!$F$30/'Assumptions '!$E$30),($B$2))</f>
        <v>0</v>
      </c>
      <c r="AW37" s="256">
        <f>IF(AND('Pro Forma'!AW$2&gt;='Assumptions '!$E$30,'Pro Forma'!AW$2&lt;='Assumptions '!$F$30),('Assumptions '!$D$38*'Assumptions '!$C$30)/('Assumptions '!$F$30/'Assumptions '!$E$30),($B$2))</f>
        <v>0</v>
      </c>
      <c r="AX37" s="256">
        <f>IF(AND('Pro Forma'!AX$2&gt;='Assumptions '!$E$30,'Pro Forma'!AX$2&lt;='Assumptions '!$F$30),('Assumptions '!$D$38*'Assumptions '!$C$30)/('Assumptions '!$F$30/'Assumptions '!$E$30),($B$2))</f>
        <v>0</v>
      </c>
      <c r="AY37" s="256">
        <f>IF(AND('Pro Forma'!AY$2&gt;='Assumptions '!$E$30,'Pro Forma'!AY$2&lt;='Assumptions '!$F$30),('Assumptions '!$D$38*'Assumptions '!$C$30)/('Assumptions '!$F$30/'Assumptions '!$E$30),($B$2))</f>
        <v>0</v>
      </c>
      <c r="AZ37" s="256">
        <f>IF(AND('Pro Forma'!AZ$2&gt;='Assumptions '!$E$30,'Pro Forma'!AZ$2&lt;='Assumptions '!$F$30),('Assumptions '!$D$38*'Assumptions '!$C$30)/('Assumptions '!$F$30/'Assumptions '!$E$30),($B$2))</f>
        <v>0</v>
      </c>
      <c r="BA37" s="256">
        <f>IF(AND('Pro Forma'!BA$2&gt;='Assumptions '!$E$30,'Pro Forma'!BA$2&lt;='Assumptions '!$F$30),('Assumptions '!$D$38*'Assumptions '!$C$30)/('Assumptions '!$F$30/'Assumptions '!$E$30),($B$2))</f>
        <v>0</v>
      </c>
      <c r="BB37" s="256">
        <f>IF(AND('Pro Forma'!BB$2&gt;='Assumptions '!$E$30,'Pro Forma'!BB$2&lt;='Assumptions '!$F$30),('Assumptions '!$D$38*'Assumptions '!$C$30)/('Assumptions '!$F$30/'Assumptions '!$E$30),($B$2))</f>
        <v>0</v>
      </c>
      <c r="BC37" s="256">
        <f>IF(AND('Pro Forma'!BC$2&gt;='Assumptions '!$E$30,'Pro Forma'!BC$2&lt;='Assumptions '!$F$30),('Assumptions '!$D$38*'Assumptions '!$C$30)/('Assumptions '!$F$30/'Assumptions '!$E$30),($B$2))</f>
        <v>0</v>
      </c>
      <c r="BD37" s="256">
        <f>IF(AND('Pro Forma'!BD$2&gt;='Assumptions '!$E$30,'Pro Forma'!BD$2&lt;='Assumptions '!$F$30),('Assumptions '!$D$38*'Assumptions '!$C$30)/('Assumptions '!$F$30/'Assumptions '!$E$30),($B$2))</f>
        <v>0</v>
      </c>
      <c r="BE37" s="256">
        <f>IF(AND('Pro Forma'!BE$2&gt;='Assumptions '!$E$30,'Pro Forma'!BE$2&lt;='Assumptions '!$F$30),('Assumptions '!$D$38*'Assumptions '!$C$30)/('Assumptions '!$F$30/'Assumptions '!$E$30),($B$2))</f>
        <v>0</v>
      </c>
      <c r="BF37" s="256">
        <f>IF(AND('Pro Forma'!BF$2&gt;='Assumptions '!$E$30,'Pro Forma'!BF$2&lt;='Assumptions '!$F$30),('Assumptions '!$D$38*'Assumptions '!$C$30)/('Assumptions '!$F$30/'Assumptions '!$E$30),($B$2))</f>
        <v>0</v>
      </c>
      <c r="BG37" s="256">
        <f>IF(AND('Pro Forma'!BG$2&gt;='Assumptions '!$E$30,'Pro Forma'!BG$2&lt;='Assumptions '!$F$30),('Assumptions '!$D$38*'Assumptions '!$C$30)/('Assumptions '!$F$30/'Assumptions '!$E$30),($B$2))</f>
        <v>0</v>
      </c>
      <c r="BH37" s="256">
        <f>IF(AND('Pro Forma'!BH$2&gt;='Assumptions '!$E$30,'Pro Forma'!BH$2&lt;='Assumptions '!$F$30),('Assumptions '!$D$38*'Assumptions '!$C$30)/('Assumptions '!$F$30/'Assumptions '!$E$30),($B$2))</f>
        <v>0</v>
      </c>
      <c r="BI37" s="256">
        <f>IF(AND('Pro Forma'!BI$2&gt;='Assumptions '!$E$30,'Pro Forma'!BI$2&lt;='Assumptions '!$F$30),('Assumptions '!$D$38*'Assumptions '!$C$30)/('Assumptions '!$F$30/'Assumptions '!$E$30),($B$2))</f>
        <v>0</v>
      </c>
      <c r="BJ37" s="256">
        <f>IF(AND('Pro Forma'!BJ$2&gt;='Assumptions '!$E$30,'Pro Forma'!BJ$2&lt;='Assumptions '!$F$30),('Assumptions '!$D$38*'Assumptions '!$C$30)/('Assumptions '!$F$30/'Assumptions '!$E$30),($B$2))</f>
        <v>0</v>
      </c>
      <c r="BK37" s="256">
        <f>IF(AND('Pro Forma'!BK$2&gt;='Assumptions '!$E$30,'Pro Forma'!BK$2&lt;='Assumptions '!$F$30),('Assumptions '!$D$38*'Assumptions '!$C$30)/('Assumptions '!$F$30/'Assumptions '!$E$30),($B$2))</f>
        <v>0</v>
      </c>
    </row>
    <row r="38" spans="1:63" s="132" customFormat="1" ht="15.75">
      <c r="A38" s="118" t="str">
        <f>'Assumptions '!B31</f>
        <v>Tax Credit #2 (PTC) ((kW/$)</v>
      </c>
      <c r="B38" s="255"/>
      <c r="C38" s="255">
        <f>$O38/12</f>
        <v>0</v>
      </c>
      <c r="D38" s="255">
        <f t="shared" si="30"/>
        <v>0</v>
      </c>
      <c r="E38" s="255">
        <f t="shared" si="30"/>
        <v>0</v>
      </c>
      <c r="F38" s="255">
        <f t="shared" si="30"/>
        <v>0</v>
      </c>
      <c r="G38" s="255">
        <f t="shared" si="30"/>
        <v>0</v>
      </c>
      <c r="H38" s="255">
        <f t="shared" si="30"/>
        <v>0</v>
      </c>
      <c r="I38" s="255">
        <f t="shared" si="30"/>
        <v>0</v>
      </c>
      <c r="J38" s="255">
        <f t="shared" si="30"/>
        <v>0</v>
      </c>
      <c r="K38" s="255">
        <f t="shared" si="30"/>
        <v>0</v>
      </c>
      <c r="L38" s="255">
        <f t="shared" si="30"/>
        <v>0</v>
      </c>
      <c r="M38" s="255">
        <f t="shared" si="30"/>
        <v>0</v>
      </c>
      <c r="N38" s="255">
        <f t="shared" si="30"/>
        <v>0</v>
      </c>
      <c r="O38" s="256">
        <f>'Calculation Appendix'!B44</f>
        <v>0</v>
      </c>
      <c r="P38" s="264">
        <f>$AB38/12</f>
        <v>0</v>
      </c>
      <c r="Q38" s="264">
        <f t="shared" si="31"/>
        <v>0</v>
      </c>
      <c r="R38" s="264">
        <f t="shared" si="31"/>
        <v>0</v>
      </c>
      <c r="S38" s="264">
        <f t="shared" si="31"/>
        <v>0</v>
      </c>
      <c r="T38" s="264">
        <f t="shared" si="31"/>
        <v>0</v>
      </c>
      <c r="U38" s="264">
        <f t="shared" si="31"/>
        <v>0</v>
      </c>
      <c r="V38" s="264">
        <f t="shared" si="31"/>
        <v>0</v>
      </c>
      <c r="W38" s="264">
        <f t="shared" si="31"/>
        <v>0</v>
      </c>
      <c r="X38" s="264">
        <f t="shared" si="31"/>
        <v>0</v>
      </c>
      <c r="Y38" s="264">
        <f t="shared" si="31"/>
        <v>0</v>
      </c>
      <c r="Z38" s="264">
        <f t="shared" si="31"/>
        <v>0</v>
      </c>
      <c r="AA38" s="264">
        <f t="shared" si="31"/>
        <v>0</v>
      </c>
      <c r="AB38" s="256">
        <f>'Calculation Appendix'!C44</f>
        <v>0</v>
      </c>
      <c r="AC38" s="264">
        <f>$AO38/12</f>
        <v>0</v>
      </c>
      <c r="AD38" s="264">
        <f t="shared" si="32"/>
        <v>0</v>
      </c>
      <c r="AE38" s="264">
        <f t="shared" si="32"/>
        <v>0</v>
      </c>
      <c r="AF38" s="264">
        <f t="shared" si="32"/>
        <v>0</v>
      </c>
      <c r="AG38" s="264">
        <f t="shared" si="32"/>
        <v>0</v>
      </c>
      <c r="AH38" s="264">
        <f t="shared" si="32"/>
        <v>0</v>
      </c>
      <c r="AI38" s="264">
        <f t="shared" si="32"/>
        <v>0</v>
      </c>
      <c r="AJ38" s="264">
        <f t="shared" si="32"/>
        <v>0</v>
      </c>
      <c r="AK38" s="264">
        <f t="shared" si="32"/>
        <v>0</v>
      </c>
      <c r="AL38" s="264">
        <f t="shared" si="32"/>
        <v>0</v>
      </c>
      <c r="AM38" s="264">
        <f t="shared" si="32"/>
        <v>0</v>
      </c>
      <c r="AN38" s="264">
        <f t="shared" si="32"/>
        <v>0</v>
      </c>
      <c r="AO38" s="256">
        <f>'Calculation Appendix'!D44</f>
        <v>0</v>
      </c>
      <c r="AP38" s="256">
        <f>'Calculation Appendix'!E44</f>
        <v>0</v>
      </c>
      <c r="AQ38" s="256">
        <f>'Calculation Appendix'!F44</f>
        <v>0</v>
      </c>
      <c r="AR38" s="256">
        <f>'Calculation Appendix'!G44</f>
        <v>0</v>
      </c>
      <c r="AS38" s="256">
        <f>'Calculation Appendix'!H44</f>
        <v>0</v>
      </c>
      <c r="AT38" s="256">
        <f>'Calculation Appendix'!I44</f>
        <v>0</v>
      </c>
      <c r="AU38" s="256">
        <f>'Calculation Appendix'!J44</f>
        <v>0</v>
      </c>
      <c r="AV38" s="256">
        <f>'Calculation Appendix'!K44</f>
        <v>0</v>
      </c>
      <c r="AW38" s="256">
        <f>'Calculation Appendix'!L44</f>
        <v>0</v>
      </c>
      <c r="AX38" s="256">
        <f>'Calculation Appendix'!M44</f>
        <v>0</v>
      </c>
      <c r="AY38" s="256">
        <f>'Calculation Appendix'!N44</f>
        <v>0</v>
      </c>
      <c r="AZ38" s="256">
        <f>'Calculation Appendix'!O44</f>
        <v>0</v>
      </c>
      <c r="BA38" s="256">
        <f>'Calculation Appendix'!P44</f>
        <v>0</v>
      </c>
      <c r="BB38" s="256">
        <f>'Calculation Appendix'!Q44</f>
        <v>0</v>
      </c>
      <c r="BC38" s="256">
        <f>'Calculation Appendix'!R44</f>
        <v>0</v>
      </c>
      <c r="BD38" s="256">
        <f>'Calculation Appendix'!S44</f>
        <v>0</v>
      </c>
      <c r="BE38" s="256">
        <f>'Calculation Appendix'!T44</f>
        <v>0</v>
      </c>
      <c r="BF38" s="256">
        <f>'Calculation Appendix'!U44</f>
        <v>0</v>
      </c>
      <c r="BG38" s="256">
        <f>'Calculation Appendix'!V44</f>
        <v>0</v>
      </c>
      <c r="BH38" s="256">
        <f>'Calculation Appendix'!W44</f>
        <v>0</v>
      </c>
      <c r="BI38" s="256">
        <f>'Calculation Appendix'!X44</f>
        <v>0</v>
      </c>
      <c r="BJ38" s="256">
        <f>'Calculation Appendix'!Y44</f>
        <v>0</v>
      </c>
      <c r="BK38" s="256">
        <f>'Calculation Appendix'!Z44</f>
        <v>0</v>
      </c>
    </row>
    <row r="39" spans="1:63" s="133" customFormat="1" ht="16.5" thickBot="1">
      <c r="A39" s="242" t="s">
        <v>136</v>
      </c>
      <c r="B39" s="261"/>
      <c r="C39" s="268">
        <f aca="true" t="shared" si="33" ref="C39:N39">SUM(C35:C38)</f>
        <v>0</v>
      </c>
      <c r="D39" s="268">
        <f t="shared" si="33"/>
        <v>0</v>
      </c>
      <c r="E39" s="268">
        <f t="shared" si="33"/>
        <v>0</v>
      </c>
      <c r="F39" s="268">
        <f t="shared" si="33"/>
        <v>0</v>
      </c>
      <c r="G39" s="268">
        <f>SUM(G35:G38)</f>
        <v>0</v>
      </c>
      <c r="H39" s="268">
        <f t="shared" si="33"/>
        <v>0</v>
      </c>
      <c r="I39" s="268">
        <f t="shared" si="33"/>
        <v>0</v>
      </c>
      <c r="J39" s="268">
        <f t="shared" si="33"/>
        <v>0</v>
      </c>
      <c r="K39" s="268">
        <f t="shared" si="33"/>
        <v>0</v>
      </c>
      <c r="L39" s="268">
        <f t="shared" si="33"/>
        <v>0</v>
      </c>
      <c r="M39" s="268">
        <f t="shared" si="33"/>
        <v>0</v>
      </c>
      <c r="N39" s="268">
        <f t="shared" si="33"/>
        <v>0</v>
      </c>
      <c r="O39" s="263">
        <f>SUM(O35:O38)</f>
        <v>0</v>
      </c>
      <c r="P39" s="268">
        <f aca="true" t="shared" si="34" ref="P39:BF39">SUM(P35:P38)</f>
        <v>0</v>
      </c>
      <c r="Q39" s="268">
        <f t="shared" si="34"/>
        <v>0</v>
      </c>
      <c r="R39" s="268">
        <f t="shared" si="34"/>
        <v>0</v>
      </c>
      <c r="S39" s="268">
        <f t="shared" si="34"/>
        <v>0</v>
      </c>
      <c r="T39" s="268">
        <f t="shared" si="34"/>
        <v>0</v>
      </c>
      <c r="U39" s="268">
        <f t="shared" si="34"/>
        <v>0</v>
      </c>
      <c r="V39" s="268">
        <f t="shared" si="34"/>
        <v>0</v>
      </c>
      <c r="W39" s="268">
        <f t="shared" si="34"/>
        <v>0</v>
      </c>
      <c r="X39" s="268">
        <f t="shared" si="34"/>
        <v>0</v>
      </c>
      <c r="Y39" s="268">
        <f t="shared" si="34"/>
        <v>0</v>
      </c>
      <c r="Z39" s="268">
        <f t="shared" si="34"/>
        <v>0</v>
      </c>
      <c r="AA39" s="268">
        <f t="shared" si="34"/>
        <v>0</v>
      </c>
      <c r="AB39" s="263">
        <f t="shared" si="34"/>
        <v>0</v>
      </c>
      <c r="AC39" s="268">
        <f>SUM(AC35:AC38)</f>
        <v>0</v>
      </c>
      <c r="AD39" s="268">
        <f t="shared" si="34"/>
        <v>0</v>
      </c>
      <c r="AE39" s="268">
        <f t="shared" si="34"/>
        <v>0</v>
      </c>
      <c r="AF39" s="268">
        <f t="shared" si="34"/>
        <v>0</v>
      </c>
      <c r="AG39" s="268">
        <f t="shared" si="34"/>
        <v>0</v>
      </c>
      <c r="AH39" s="268">
        <f t="shared" si="34"/>
        <v>0</v>
      </c>
      <c r="AI39" s="268">
        <f t="shared" si="34"/>
        <v>0</v>
      </c>
      <c r="AJ39" s="268">
        <f t="shared" si="34"/>
        <v>0</v>
      </c>
      <c r="AK39" s="268">
        <f t="shared" si="34"/>
        <v>0</v>
      </c>
      <c r="AL39" s="268">
        <f t="shared" si="34"/>
        <v>0</v>
      </c>
      <c r="AM39" s="268">
        <f t="shared" si="34"/>
        <v>0</v>
      </c>
      <c r="AN39" s="268">
        <f t="shared" si="34"/>
        <v>0</v>
      </c>
      <c r="AO39" s="263">
        <f t="shared" si="34"/>
        <v>0</v>
      </c>
      <c r="AP39" s="263">
        <f t="shared" si="34"/>
        <v>0</v>
      </c>
      <c r="AQ39" s="263">
        <f t="shared" si="34"/>
        <v>0</v>
      </c>
      <c r="AR39" s="263">
        <f t="shared" si="34"/>
        <v>0</v>
      </c>
      <c r="AS39" s="263">
        <f t="shared" si="34"/>
        <v>0</v>
      </c>
      <c r="AT39" s="263">
        <f t="shared" si="34"/>
        <v>0</v>
      </c>
      <c r="AU39" s="263">
        <f t="shared" si="34"/>
        <v>0</v>
      </c>
      <c r="AV39" s="263">
        <f t="shared" si="34"/>
        <v>0</v>
      </c>
      <c r="AW39" s="263">
        <f t="shared" si="34"/>
        <v>0</v>
      </c>
      <c r="AX39" s="263">
        <f t="shared" si="34"/>
        <v>0</v>
      </c>
      <c r="AY39" s="263">
        <f t="shared" si="34"/>
        <v>0</v>
      </c>
      <c r="AZ39" s="263">
        <f t="shared" si="34"/>
        <v>0</v>
      </c>
      <c r="BA39" s="263">
        <f t="shared" si="34"/>
        <v>0</v>
      </c>
      <c r="BB39" s="263">
        <f t="shared" si="34"/>
        <v>0</v>
      </c>
      <c r="BC39" s="263">
        <f t="shared" si="34"/>
        <v>0</v>
      </c>
      <c r="BD39" s="263">
        <f t="shared" si="34"/>
        <v>0</v>
      </c>
      <c r="BE39" s="263">
        <f t="shared" si="34"/>
        <v>0</v>
      </c>
      <c r="BF39" s="263">
        <f t="shared" si="34"/>
        <v>0</v>
      </c>
      <c r="BG39" s="263">
        <f>SUM(BG35:BG38)</f>
        <v>0</v>
      </c>
      <c r="BH39" s="263">
        <f>SUM(BH35:BH38)</f>
        <v>0</v>
      </c>
      <c r="BI39" s="263">
        <f>SUM(BI35:BI38)</f>
        <v>0</v>
      </c>
      <c r="BJ39" s="263">
        <f>SUM(BJ35:BJ38)</f>
        <v>0</v>
      </c>
      <c r="BK39" s="263">
        <f>SUM(BK35:BK38)</f>
        <v>0</v>
      </c>
    </row>
    <row r="40" spans="1:63" s="132" customFormat="1" ht="16.5" thickTop="1">
      <c r="A40" s="117"/>
      <c r="B40" s="255"/>
      <c r="C40" s="255"/>
      <c r="D40" s="255"/>
      <c r="E40" s="255"/>
      <c r="F40" s="255"/>
      <c r="G40" s="255"/>
      <c r="H40" s="255"/>
      <c r="I40" s="255"/>
      <c r="J40" s="255"/>
      <c r="K40" s="255"/>
      <c r="L40" s="255"/>
      <c r="M40" s="255"/>
      <c r="N40" s="255"/>
      <c r="O40" s="256"/>
      <c r="P40" s="255"/>
      <c r="Q40" s="255"/>
      <c r="R40" s="255"/>
      <c r="S40" s="255"/>
      <c r="T40" s="255"/>
      <c r="U40" s="255"/>
      <c r="V40" s="255"/>
      <c r="W40" s="255"/>
      <c r="X40" s="255"/>
      <c r="Y40" s="255"/>
      <c r="Z40" s="255"/>
      <c r="AA40" s="255"/>
      <c r="AB40" s="257"/>
      <c r="AC40" s="255"/>
      <c r="AD40" s="255"/>
      <c r="AE40" s="255"/>
      <c r="AF40" s="255"/>
      <c r="AG40" s="255"/>
      <c r="AH40" s="255"/>
      <c r="AI40" s="255"/>
      <c r="AJ40" s="255"/>
      <c r="AK40" s="255"/>
      <c r="AL40" s="255"/>
      <c r="AM40" s="255"/>
      <c r="AN40" s="255"/>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row>
    <row r="41" spans="1:124" s="141" customFormat="1" ht="15.75">
      <c r="A41" s="146" t="s">
        <v>75</v>
      </c>
      <c r="B41" s="259"/>
      <c r="C41" s="259"/>
      <c r="D41" s="259"/>
      <c r="E41" s="259"/>
      <c r="F41" s="259"/>
      <c r="G41" s="259"/>
      <c r="H41" s="259"/>
      <c r="I41" s="259"/>
      <c r="J41" s="259"/>
      <c r="K41" s="259"/>
      <c r="L41" s="259"/>
      <c r="M41" s="259"/>
      <c r="N41" s="259"/>
      <c r="O41" s="260"/>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row>
    <row r="42" spans="1:63" s="130" customFormat="1" ht="19.5" customHeight="1">
      <c r="A42" s="151" t="s">
        <v>74</v>
      </c>
      <c r="B42" s="255"/>
      <c r="C42" s="255">
        <f aca="true" t="shared" si="35" ref="C42:AH42">C32</f>
        <v>2116.8033333333333</v>
      </c>
      <c r="D42" s="255">
        <f t="shared" si="35"/>
        <v>2116.8033333333333</v>
      </c>
      <c r="E42" s="255">
        <f t="shared" si="35"/>
        <v>2116.8033333333333</v>
      </c>
      <c r="F42" s="255">
        <f t="shared" si="35"/>
        <v>2116.8033333333333</v>
      </c>
      <c r="G42" s="255">
        <f t="shared" si="35"/>
        <v>2116.8033333333333</v>
      </c>
      <c r="H42" s="255">
        <f t="shared" si="35"/>
        <v>2116.8033333333333</v>
      </c>
      <c r="I42" s="255">
        <f t="shared" si="35"/>
        <v>2116.8033333333333</v>
      </c>
      <c r="J42" s="255">
        <f t="shared" si="35"/>
        <v>2116.8033333333333</v>
      </c>
      <c r="K42" s="255">
        <f t="shared" si="35"/>
        <v>2116.8033333333333</v>
      </c>
      <c r="L42" s="255">
        <f t="shared" si="35"/>
        <v>2116.8033333333333</v>
      </c>
      <c r="M42" s="255">
        <f t="shared" si="35"/>
        <v>2116.8033333333333</v>
      </c>
      <c r="N42" s="255">
        <f t="shared" si="35"/>
        <v>2116.8033333333333</v>
      </c>
      <c r="O42" s="257">
        <f t="shared" si="35"/>
        <v>25401.640000000003</v>
      </c>
      <c r="P42" s="255">
        <f t="shared" si="35"/>
        <v>2175.398066666667</v>
      </c>
      <c r="Q42" s="255">
        <f t="shared" si="35"/>
        <v>2175.398066666667</v>
      </c>
      <c r="R42" s="255">
        <f t="shared" si="35"/>
        <v>2175.398066666667</v>
      </c>
      <c r="S42" s="255">
        <f t="shared" si="35"/>
        <v>2175.398066666667</v>
      </c>
      <c r="T42" s="255">
        <f t="shared" si="35"/>
        <v>2175.398066666667</v>
      </c>
      <c r="U42" s="255">
        <f t="shared" si="35"/>
        <v>2175.398066666667</v>
      </c>
      <c r="V42" s="255">
        <f t="shared" si="35"/>
        <v>2175.398066666667</v>
      </c>
      <c r="W42" s="255">
        <f t="shared" si="35"/>
        <v>2175.398066666667</v>
      </c>
      <c r="X42" s="255">
        <f t="shared" si="35"/>
        <v>2175.398066666667</v>
      </c>
      <c r="Y42" s="255">
        <f t="shared" si="35"/>
        <v>2175.398066666667</v>
      </c>
      <c r="Z42" s="255">
        <f t="shared" si="35"/>
        <v>2175.398066666667</v>
      </c>
      <c r="AA42" s="255">
        <f t="shared" si="35"/>
        <v>2175.398066666667</v>
      </c>
      <c r="AB42" s="257">
        <f t="shared" si="35"/>
        <v>26104.7768</v>
      </c>
      <c r="AC42" s="255">
        <f t="shared" si="35"/>
        <v>2235.164694666667</v>
      </c>
      <c r="AD42" s="255">
        <f t="shared" si="35"/>
        <v>2004.3565497666666</v>
      </c>
      <c r="AE42" s="255">
        <f t="shared" si="35"/>
        <v>1993.4131075686666</v>
      </c>
      <c r="AF42" s="255">
        <f t="shared" si="35"/>
        <v>1982.2507965267066</v>
      </c>
      <c r="AG42" s="255">
        <f t="shared" si="35"/>
        <v>1970.8652392639076</v>
      </c>
      <c r="AH42" s="255">
        <f t="shared" si="35"/>
        <v>1959.2519708558523</v>
      </c>
      <c r="AI42" s="255">
        <f aca="true" t="shared" si="36" ref="AI42:BF42">AI32</f>
        <v>1947.4064370796361</v>
      </c>
      <c r="AJ42" s="255">
        <f t="shared" si="36"/>
        <v>268.6573259612285</v>
      </c>
      <c r="AK42" s="255">
        <f t="shared" si="36"/>
        <v>2180.8578522633443</v>
      </c>
      <c r="AL42" s="255">
        <f t="shared" si="36"/>
        <v>2173.444436115278</v>
      </c>
      <c r="AM42" s="255">
        <f t="shared" si="36"/>
        <v>2165.8827516442498</v>
      </c>
      <c r="AN42" s="255">
        <f t="shared" si="36"/>
        <v>2158.169833483802</v>
      </c>
      <c r="AO42" s="257">
        <f t="shared" si="36"/>
        <v>26821.976336</v>
      </c>
      <c r="AP42" s="257">
        <f t="shared" si="36"/>
        <v>25398.50355296</v>
      </c>
      <c r="AQ42" s="257">
        <f t="shared" si="36"/>
        <v>26101.5776240192</v>
      </c>
      <c r="AR42" s="257">
        <f t="shared" si="36"/>
        <v>26818.71317649958</v>
      </c>
      <c r="AS42" s="257">
        <f t="shared" si="36"/>
        <v>27550.191440029583</v>
      </c>
      <c r="AT42" s="257">
        <f t="shared" si="36"/>
        <v>28296.29926883016</v>
      </c>
      <c r="AU42" s="257">
        <f t="shared" si="36"/>
        <v>29057.329254206765</v>
      </c>
      <c r="AV42" s="257">
        <f t="shared" si="36"/>
        <v>13833.579839290902</v>
      </c>
      <c r="AW42" s="257">
        <f t="shared" si="36"/>
        <v>33100.79178464848</v>
      </c>
      <c r="AX42" s="257">
        <f t="shared" si="36"/>
        <v>33957.91162034144</v>
      </c>
      <c r="AY42" s="257">
        <f t="shared" si="36"/>
        <v>34832.17385274828</v>
      </c>
      <c r="AZ42" s="257">
        <f t="shared" si="36"/>
        <v>35723.921329803234</v>
      </c>
      <c r="BA42" s="257">
        <f t="shared" si="36"/>
        <v>4633.503756399306</v>
      </c>
      <c r="BB42" s="257">
        <f t="shared" si="36"/>
        <v>37561.27783152728</v>
      </c>
      <c r="BC42" s="257">
        <f t="shared" si="36"/>
        <v>38507.60738815783</v>
      </c>
      <c r="BD42" s="257">
        <f t="shared" si="36"/>
        <v>39472.863535920995</v>
      </c>
      <c r="BE42" s="257">
        <f t="shared" si="36"/>
        <v>40457.424806639414</v>
      </c>
      <c r="BF42" s="257">
        <f t="shared" si="36"/>
        <v>41461.6773027722</v>
      </c>
      <c r="BG42" s="257">
        <f>BG32</f>
        <v>42486.01484882764</v>
      </c>
      <c r="BH42" s="257">
        <f>BH32</f>
        <v>43530.83914580419</v>
      </c>
      <c r="BI42" s="257">
        <f>BI32</f>
        <v>44596.55992872027</v>
      </c>
      <c r="BJ42" s="257">
        <f>BJ32</f>
        <v>45683.59512729467</v>
      </c>
      <c r="BK42" s="257">
        <f>BK32</f>
        <v>46792.37102984057</v>
      </c>
    </row>
    <row r="43" spans="1:63" s="130" customFormat="1" ht="15.75">
      <c r="A43" s="135" t="s">
        <v>79</v>
      </c>
      <c r="B43" s="255"/>
      <c r="C43" s="255">
        <f aca="true" t="shared" si="37" ref="C43:AH43">C29</f>
        <v>1016.1666666666666</v>
      </c>
      <c r="D43" s="255">
        <f t="shared" si="37"/>
        <v>1016.1666666666666</v>
      </c>
      <c r="E43" s="255">
        <f t="shared" si="37"/>
        <v>1016.1666666666666</v>
      </c>
      <c r="F43" s="255">
        <f t="shared" si="37"/>
        <v>1016.1666666666666</v>
      </c>
      <c r="G43" s="255">
        <f t="shared" si="37"/>
        <v>1016.1666666666666</v>
      </c>
      <c r="H43" s="255">
        <f t="shared" si="37"/>
        <v>1016.1666666666666</v>
      </c>
      <c r="I43" s="255">
        <f t="shared" si="37"/>
        <v>1016.1666666666666</v>
      </c>
      <c r="J43" s="255">
        <f t="shared" si="37"/>
        <v>1016.1666666666666</v>
      </c>
      <c r="K43" s="255">
        <f t="shared" si="37"/>
        <v>1016.1666666666666</v>
      </c>
      <c r="L43" s="255">
        <f t="shared" si="37"/>
        <v>1016.1666666666666</v>
      </c>
      <c r="M43" s="255">
        <f t="shared" si="37"/>
        <v>1016.1666666666666</v>
      </c>
      <c r="N43" s="255">
        <f t="shared" si="37"/>
        <v>1016.1666666666666</v>
      </c>
      <c r="O43" s="257">
        <f t="shared" si="37"/>
        <v>12194</v>
      </c>
      <c r="P43" s="255">
        <f t="shared" si="37"/>
        <v>1016.1666666666666</v>
      </c>
      <c r="Q43" s="255">
        <f t="shared" si="37"/>
        <v>1016.1666666666666</v>
      </c>
      <c r="R43" s="255">
        <f t="shared" si="37"/>
        <v>1016.1666666666666</v>
      </c>
      <c r="S43" s="255">
        <f t="shared" si="37"/>
        <v>1016.1666666666666</v>
      </c>
      <c r="T43" s="255">
        <f t="shared" si="37"/>
        <v>1016.1666666666666</v>
      </c>
      <c r="U43" s="255">
        <f t="shared" si="37"/>
        <v>1016.1666666666666</v>
      </c>
      <c r="V43" s="255">
        <f t="shared" si="37"/>
        <v>1016.1666666666666</v>
      </c>
      <c r="W43" s="255">
        <f t="shared" si="37"/>
        <v>1016.1666666666666</v>
      </c>
      <c r="X43" s="255">
        <f t="shared" si="37"/>
        <v>1016.1666666666666</v>
      </c>
      <c r="Y43" s="255">
        <f t="shared" si="37"/>
        <v>1016.1666666666666</v>
      </c>
      <c r="Z43" s="255">
        <f t="shared" si="37"/>
        <v>1016.1666666666666</v>
      </c>
      <c r="AA43" s="255">
        <f t="shared" si="37"/>
        <v>1016.1666666666666</v>
      </c>
      <c r="AB43" s="257">
        <f t="shared" si="37"/>
        <v>12194</v>
      </c>
      <c r="AC43" s="255">
        <f t="shared" si="37"/>
        <v>1016.1666666666666</v>
      </c>
      <c r="AD43" s="255">
        <f t="shared" si="37"/>
        <v>1016.1666666666666</v>
      </c>
      <c r="AE43" s="255">
        <f t="shared" si="37"/>
        <v>1016.1666666666666</v>
      </c>
      <c r="AF43" s="255">
        <f t="shared" si="37"/>
        <v>1016.1666666666666</v>
      </c>
      <c r="AG43" s="255">
        <f t="shared" si="37"/>
        <v>1016.1666666666666</v>
      </c>
      <c r="AH43" s="255">
        <f t="shared" si="37"/>
        <v>1016.1666666666666</v>
      </c>
      <c r="AI43" s="255">
        <f aca="true" t="shared" si="38" ref="AI43:BF43">AI29</f>
        <v>1016.1666666666666</v>
      </c>
      <c r="AJ43" s="255">
        <f t="shared" si="38"/>
        <v>1016.1666666666666</v>
      </c>
      <c r="AK43" s="255">
        <f t="shared" si="38"/>
        <v>1016.1666666666666</v>
      </c>
      <c r="AL43" s="255">
        <f t="shared" si="38"/>
        <v>1016.1666666666666</v>
      </c>
      <c r="AM43" s="255">
        <f t="shared" si="38"/>
        <v>1016.1666666666666</v>
      </c>
      <c r="AN43" s="255">
        <f t="shared" si="38"/>
        <v>1016.1666666666666</v>
      </c>
      <c r="AO43" s="257">
        <f t="shared" si="38"/>
        <v>12194</v>
      </c>
      <c r="AP43" s="257">
        <f t="shared" si="38"/>
        <v>12194</v>
      </c>
      <c r="AQ43" s="257">
        <f t="shared" si="38"/>
        <v>12194</v>
      </c>
      <c r="AR43" s="257">
        <f t="shared" si="38"/>
        <v>12194</v>
      </c>
      <c r="AS43" s="257">
        <f t="shared" si="38"/>
        <v>12194</v>
      </c>
      <c r="AT43" s="257">
        <f t="shared" si="38"/>
        <v>12194</v>
      </c>
      <c r="AU43" s="257">
        <f t="shared" si="38"/>
        <v>12194</v>
      </c>
      <c r="AV43" s="257">
        <f t="shared" si="38"/>
        <v>12194</v>
      </c>
      <c r="AW43" s="257">
        <f t="shared" si="38"/>
        <v>12194</v>
      </c>
      <c r="AX43" s="257">
        <f t="shared" si="38"/>
        <v>12194</v>
      </c>
      <c r="AY43" s="257">
        <f t="shared" si="38"/>
        <v>12194</v>
      </c>
      <c r="AZ43" s="257">
        <f t="shared" si="38"/>
        <v>12194</v>
      </c>
      <c r="BA43" s="257">
        <f t="shared" si="38"/>
        <v>12194</v>
      </c>
      <c r="BB43" s="257">
        <f t="shared" si="38"/>
        <v>12194</v>
      </c>
      <c r="BC43" s="257">
        <f t="shared" si="38"/>
        <v>12194</v>
      </c>
      <c r="BD43" s="257">
        <f t="shared" si="38"/>
        <v>12194</v>
      </c>
      <c r="BE43" s="257">
        <f t="shared" si="38"/>
        <v>12194</v>
      </c>
      <c r="BF43" s="257">
        <f t="shared" si="38"/>
        <v>12194</v>
      </c>
      <c r="BG43" s="257">
        <f>BG29</f>
        <v>12194</v>
      </c>
      <c r="BH43" s="257">
        <f>BH29</f>
        <v>12194</v>
      </c>
      <c r="BI43" s="257">
        <f>BI29</f>
        <v>12194</v>
      </c>
      <c r="BJ43" s="257">
        <f>BJ29</f>
        <v>12194</v>
      </c>
      <c r="BK43" s="257">
        <f>BK29</f>
        <v>12194</v>
      </c>
    </row>
    <row r="44" spans="1:63" s="132" customFormat="1" ht="15.75">
      <c r="A44" s="118" t="s">
        <v>78</v>
      </c>
      <c r="B44" s="255"/>
      <c r="C44" s="255">
        <f>$O$44/12</f>
        <v>0</v>
      </c>
      <c r="D44" s="255">
        <f aca="true" t="shared" si="39" ref="D44:N44">$O$44/12</f>
        <v>0</v>
      </c>
      <c r="E44" s="255">
        <f t="shared" si="39"/>
        <v>0</v>
      </c>
      <c r="F44" s="255">
        <f t="shared" si="39"/>
        <v>0</v>
      </c>
      <c r="G44" s="255">
        <f t="shared" si="39"/>
        <v>0</v>
      </c>
      <c r="H44" s="255">
        <f t="shared" si="39"/>
        <v>0</v>
      </c>
      <c r="I44" s="255">
        <f t="shared" si="39"/>
        <v>0</v>
      </c>
      <c r="J44" s="255">
        <f t="shared" si="39"/>
        <v>0</v>
      </c>
      <c r="K44" s="255">
        <f t="shared" si="39"/>
        <v>0</v>
      </c>
      <c r="L44" s="255">
        <f t="shared" si="39"/>
        <v>0</v>
      </c>
      <c r="M44" s="255">
        <f t="shared" si="39"/>
        <v>0</v>
      </c>
      <c r="N44" s="255">
        <f t="shared" si="39"/>
        <v>0</v>
      </c>
      <c r="O44" s="257">
        <f>-'Calculation Appendix'!B36</f>
        <v>0</v>
      </c>
      <c r="P44" s="255">
        <f>-$AB$44/12</f>
        <v>0</v>
      </c>
      <c r="Q44" s="255">
        <f aca="true" t="shared" si="40" ref="Q44:AA44">-$AB$44/12</f>
        <v>0</v>
      </c>
      <c r="R44" s="255">
        <f t="shared" si="40"/>
        <v>0</v>
      </c>
      <c r="S44" s="255">
        <f t="shared" si="40"/>
        <v>0</v>
      </c>
      <c r="T44" s="255">
        <f t="shared" si="40"/>
        <v>0</v>
      </c>
      <c r="U44" s="255">
        <f t="shared" si="40"/>
        <v>0</v>
      </c>
      <c r="V44" s="255">
        <f t="shared" si="40"/>
        <v>0</v>
      </c>
      <c r="W44" s="255">
        <f t="shared" si="40"/>
        <v>0</v>
      </c>
      <c r="X44" s="255">
        <f t="shared" si="40"/>
        <v>0</v>
      </c>
      <c r="Y44" s="255">
        <f t="shared" si="40"/>
        <v>0</v>
      </c>
      <c r="Z44" s="255">
        <f t="shared" si="40"/>
        <v>0</v>
      </c>
      <c r="AA44" s="255">
        <f t="shared" si="40"/>
        <v>0</v>
      </c>
      <c r="AB44" s="257">
        <f>-'Calculation Appendix'!C36</f>
        <v>0</v>
      </c>
      <c r="AC44" s="255">
        <f>-$AO$44/12</f>
        <v>0</v>
      </c>
      <c r="AD44" s="255">
        <f aca="true" t="shared" si="41" ref="AD44:AN44">-$AO$44/12</f>
        <v>0</v>
      </c>
      <c r="AE44" s="255">
        <f t="shared" si="41"/>
        <v>0</v>
      </c>
      <c r="AF44" s="255">
        <f t="shared" si="41"/>
        <v>0</v>
      </c>
      <c r="AG44" s="255">
        <f t="shared" si="41"/>
        <v>0</v>
      </c>
      <c r="AH44" s="255">
        <f t="shared" si="41"/>
        <v>0</v>
      </c>
      <c r="AI44" s="255">
        <f t="shared" si="41"/>
        <v>0</v>
      </c>
      <c r="AJ44" s="255">
        <f t="shared" si="41"/>
        <v>0</v>
      </c>
      <c r="AK44" s="255">
        <f t="shared" si="41"/>
        <v>0</v>
      </c>
      <c r="AL44" s="255">
        <f t="shared" si="41"/>
        <v>0</v>
      </c>
      <c r="AM44" s="255">
        <f t="shared" si="41"/>
        <v>0</v>
      </c>
      <c r="AN44" s="255">
        <f t="shared" si="41"/>
        <v>0</v>
      </c>
      <c r="AO44" s="257">
        <f>-'Calculation Appendix'!D36</f>
        <v>0</v>
      </c>
      <c r="AP44" s="257">
        <f>-'Calculation Appendix'!E36</f>
        <v>0</v>
      </c>
      <c r="AQ44" s="257">
        <f>-'Calculation Appendix'!F36</f>
        <v>0</v>
      </c>
      <c r="AR44" s="257">
        <f>-'Calculation Appendix'!G36</f>
        <v>0</v>
      </c>
      <c r="AS44" s="257">
        <f>-'Calculation Appendix'!H36</f>
        <v>0</v>
      </c>
      <c r="AT44" s="257">
        <f>-'Calculation Appendix'!I36</f>
        <v>0</v>
      </c>
      <c r="AU44" s="257">
        <f>-'Calculation Appendix'!J36</f>
        <v>0</v>
      </c>
      <c r="AV44" s="257">
        <f>-'Calculation Appendix'!K36</f>
        <v>0</v>
      </c>
      <c r="AW44" s="257">
        <f>-'Calculation Appendix'!L36</f>
        <v>0</v>
      </c>
      <c r="AX44" s="257">
        <f>-'Calculation Appendix'!M36</f>
        <v>0</v>
      </c>
      <c r="AY44" s="257">
        <f>-'Calculation Appendix'!N36</f>
        <v>0</v>
      </c>
      <c r="AZ44" s="257">
        <f>-'Calculation Appendix'!O36</f>
        <v>0</v>
      </c>
      <c r="BA44" s="257">
        <f>-'Calculation Appendix'!P36</f>
        <v>0</v>
      </c>
      <c r="BB44" s="257">
        <f>-'Calculation Appendix'!Q36</f>
        <v>0</v>
      </c>
      <c r="BC44" s="257">
        <f>-'Calculation Appendix'!R36</f>
        <v>0</v>
      </c>
      <c r="BD44" s="257">
        <f>-'Calculation Appendix'!S36</f>
        <v>0</v>
      </c>
      <c r="BE44" s="257">
        <f>-'Calculation Appendix'!T36</f>
        <v>0</v>
      </c>
      <c r="BF44" s="257">
        <f>-'Calculation Appendix'!U36</f>
        <v>0</v>
      </c>
      <c r="BG44" s="257">
        <f>-'Calculation Appendix'!V36</f>
        <v>0</v>
      </c>
      <c r="BH44" s="257">
        <f>-'Calculation Appendix'!W36</f>
        <v>0</v>
      </c>
      <c r="BI44" s="257">
        <f>-'Calculation Appendix'!X36</f>
        <v>0</v>
      </c>
      <c r="BJ44" s="257">
        <f>-'Calculation Appendix'!Y36</f>
        <v>0</v>
      </c>
      <c r="BK44" s="257">
        <f>-'Calculation Appendix'!Z36</f>
        <v>0</v>
      </c>
    </row>
    <row r="45" spans="1:63" s="130" customFormat="1" ht="15.75">
      <c r="A45" s="135" t="s">
        <v>137</v>
      </c>
      <c r="B45" s="255"/>
      <c r="C45" s="255">
        <f aca="true" t="shared" si="42" ref="C45:AH45">C39</f>
        <v>0</v>
      </c>
      <c r="D45" s="255">
        <f t="shared" si="42"/>
        <v>0</v>
      </c>
      <c r="E45" s="255">
        <f t="shared" si="42"/>
        <v>0</v>
      </c>
      <c r="F45" s="255">
        <f t="shared" si="42"/>
        <v>0</v>
      </c>
      <c r="G45" s="255">
        <f t="shared" si="42"/>
        <v>0</v>
      </c>
      <c r="H45" s="255">
        <f t="shared" si="42"/>
        <v>0</v>
      </c>
      <c r="I45" s="255">
        <f t="shared" si="42"/>
        <v>0</v>
      </c>
      <c r="J45" s="255">
        <f t="shared" si="42"/>
        <v>0</v>
      </c>
      <c r="K45" s="255">
        <f t="shared" si="42"/>
        <v>0</v>
      </c>
      <c r="L45" s="255">
        <f t="shared" si="42"/>
        <v>0</v>
      </c>
      <c r="M45" s="255">
        <f t="shared" si="42"/>
        <v>0</v>
      </c>
      <c r="N45" s="255">
        <f t="shared" si="42"/>
        <v>0</v>
      </c>
      <c r="O45" s="256">
        <f>O39</f>
        <v>0</v>
      </c>
      <c r="P45" s="264">
        <f t="shared" si="42"/>
        <v>0</v>
      </c>
      <c r="Q45" s="264">
        <f t="shared" si="42"/>
        <v>0</v>
      </c>
      <c r="R45" s="264">
        <f t="shared" si="42"/>
        <v>0</v>
      </c>
      <c r="S45" s="264">
        <f t="shared" si="42"/>
        <v>0</v>
      </c>
      <c r="T45" s="264">
        <f t="shared" si="42"/>
        <v>0</v>
      </c>
      <c r="U45" s="264">
        <f t="shared" si="42"/>
        <v>0</v>
      </c>
      <c r="V45" s="264">
        <f t="shared" si="42"/>
        <v>0</v>
      </c>
      <c r="W45" s="264">
        <f t="shared" si="42"/>
        <v>0</v>
      </c>
      <c r="X45" s="264">
        <f t="shared" si="42"/>
        <v>0</v>
      </c>
      <c r="Y45" s="264">
        <f t="shared" si="42"/>
        <v>0</v>
      </c>
      <c r="Z45" s="264">
        <f t="shared" si="42"/>
        <v>0</v>
      </c>
      <c r="AA45" s="264">
        <f t="shared" si="42"/>
        <v>0</v>
      </c>
      <c r="AB45" s="256">
        <f t="shared" si="42"/>
        <v>0</v>
      </c>
      <c r="AC45" s="264">
        <f t="shared" si="42"/>
        <v>0</v>
      </c>
      <c r="AD45" s="264">
        <f t="shared" si="42"/>
        <v>0</v>
      </c>
      <c r="AE45" s="264">
        <f t="shared" si="42"/>
        <v>0</v>
      </c>
      <c r="AF45" s="264">
        <f t="shared" si="42"/>
        <v>0</v>
      </c>
      <c r="AG45" s="264">
        <f t="shared" si="42"/>
        <v>0</v>
      </c>
      <c r="AH45" s="264">
        <f t="shared" si="42"/>
        <v>0</v>
      </c>
      <c r="AI45" s="264">
        <f aca="true" t="shared" si="43" ref="AI45:BF45">AI39</f>
        <v>0</v>
      </c>
      <c r="AJ45" s="264">
        <f t="shared" si="43"/>
        <v>0</v>
      </c>
      <c r="AK45" s="264">
        <f t="shared" si="43"/>
        <v>0</v>
      </c>
      <c r="AL45" s="264">
        <f t="shared" si="43"/>
        <v>0</v>
      </c>
      <c r="AM45" s="264">
        <f t="shared" si="43"/>
        <v>0</v>
      </c>
      <c r="AN45" s="264">
        <f t="shared" si="43"/>
        <v>0</v>
      </c>
      <c r="AO45" s="256">
        <f t="shared" si="43"/>
        <v>0</v>
      </c>
      <c r="AP45" s="256">
        <f t="shared" si="43"/>
        <v>0</v>
      </c>
      <c r="AQ45" s="256">
        <f t="shared" si="43"/>
        <v>0</v>
      </c>
      <c r="AR45" s="256">
        <f t="shared" si="43"/>
        <v>0</v>
      </c>
      <c r="AS45" s="256">
        <f t="shared" si="43"/>
        <v>0</v>
      </c>
      <c r="AT45" s="256">
        <f t="shared" si="43"/>
        <v>0</v>
      </c>
      <c r="AU45" s="256">
        <f t="shared" si="43"/>
        <v>0</v>
      </c>
      <c r="AV45" s="256">
        <f t="shared" si="43"/>
        <v>0</v>
      </c>
      <c r="AW45" s="256">
        <f t="shared" si="43"/>
        <v>0</v>
      </c>
      <c r="AX45" s="256">
        <f t="shared" si="43"/>
        <v>0</v>
      </c>
      <c r="AY45" s="256">
        <f t="shared" si="43"/>
        <v>0</v>
      </c>
      <c r="AZ45" s="256">
        <f t="shared" si="43"/>
        <v>0</v>
      </c>
      <c r="BA45" s="256">
        <f t="shared" si="43"/>
        <v>0</v>
      </c>
      <c r="BB45" s="256">
        <f t="shared" si="43"/>
        <v>0</v>
      </c>
      <c r="BC45" s="256">
        <f t="shared" si="43"/>
        <v>0</v>
      </c>
      <c r="BD45" s="256">
        <f t="shared" si="43"/>
        <v>0</v>
      </c>
      <c r="BE45" s="256">
        <f t="shared" si="43"/>
        <v>0</v>
      </c>
      <c r="BF45" s="256">
        <f t="shared" si="43"/>
        <v>0</v>
      </c>
      <c r="BG45" s="256">
        <f>BG39</f>
        <v>0</v>
      </c>
      <c r="BH45" s="256">
        <f>BH39</f>
        <v>0</v>
      </c>
      <c r="BI45" s="256">
        <f>BI39</f>
        <v>0</v>
      </c>
      <c r="BJ45" s="256">
        <f>BJ39</f>
        <v>0</v>
      </c>
      <c r="BK45" s="256">
        <f>BK39</f>
        <v>0</v>
      </c>
    </row>
    <row r="46" spans="1:65" s="130" customFormat="1" ht="15.75">
      <c r="A46" s="135" t="s">
        <v>155</v>
      </c>
      <c r="B46" s="264">
        <f>IF(AND('Assumptions '!$M$62='Pro Forma'!B2),('Assumptions '!$K$59),'Pro Forma'!$B$2)</f>
        <v>0</v>
      </c>
      <c r="C46" s="255"/>
      <c r="D46" s="255"/>
      <c r="E46" s="255"/>
      <c r="F46" s="255"/>
      <c r="G46" s="255"/>
      <c r="H46" s="255"/>
      <c r="I46" s="255"/>
      <c r="J46" s="255"/>
      <c r="K46" s="255"/>
      <c r="L46" s="255"/>
      <c r="M46" s="255"/>
      <c r="N46" s="255"/>
      <c r="O46" s="256">
        <f>IF(AND('Assumptions '!$M$62='Pro Forma'!O2),('Assumptions '!$K$59),'Pro Forma'!$B$2)</f>
        <v>0</v>
      </c>
      <c r="P46" s="264"/>
      <c r="Q46" s="264"/>
      <c r="R46" s="264"/>
      <c r="S46" s="264"/>
      <c r="T46" s="264"/>
      <c r="U46" s="264"/>
      <c r="V46" s="264"/>
      <c r="W46" s="264"/>
      <c r="X46" s="264"/>
      <c r="Y46" s="264"/>
      <c r="Z46" s="264"/>
      <c r="AA46" s="264"/>
      <c r="AB46" s="256">
        <f>IF(AND('Assumptions '!$M$62='Pro Forma'!AB2),('Assumptions '!$K$59),'Pro Forma'!$B$2)</f>
        <v>0</v>
      </c>
      <c r="AC46" s="264"/>
      <c r="AD46" s="264"/>
      <c r="AE46" s="264"/>
      <c r="AF46" s="264"/>
      <c r="AG46" s="264"/>
      <c r="AH46" s="264"/>
      <c r="AI46" s="264"/>
      <c r="AJ46" s="264"/>
      <c r="AK46" s="264"/>
      <c r="AL46" s="264"/>
      <c r="AM46" s="264"/>
      <c r="AN46" s="264"/>
      <c r="AO46" s="256">
        <f>IF(AND('Assumptions '!$M$62='Pro Forma'!AO2),('Assumptions '!$K$59),'Pro Forma'!$B$2)</f>
        <v>0</v>
      </c>
      <c r="AP46" s="256">
        <f>IF(AND('Assumptions '!$M$62='Pro Forma'!AP2),('Assumptions '!$K$59),'Pro Forma'!$B$2)</f>
        <v>0</v>
      </c>
      <c r="AQ46" s="256">
        <f>IF(AND('Assumptions '!$M$62='Pro Forma'!AQ2),('Assumptions '!$K$59),'Pro Forma'!$B$2)</f>
        <v>0</v>
      </c>
      <c r="AR46" s="256">
        <f>IF(AND('Assumptions '!$M$62='Pro Forma'!AR2),('Assumptions '!$K$59),'Pro Forma'!$B$2)</f>
        <v>0</v>
      </c>
      <c r="AS46" s="256">
        <f>IF(AND('Assumptions '!$M$62='Pro Forma'!AS2),('Assumptions '!$K$59),'Pro Forma'!$B$2)</f>
        <v>0</v>
      </c>
      <c r="AT46" s="256">
        <f>IF(AND('Assumptions '!$M$62='Pro Forma'!AT2),('Assumptions '!$K$59),'Pro Forma'!$B$2)</f>
        <v>0</v>
      </c>
      <c r="AU46" s="256">
        <f>IF(AND('Assumptions '!$M$62='Pro Forma'!AU2),('Assumptions '!$K$59),'Pro Forma'!$B$2)</f>
        <v>0</v>
      </c>
      <c r="AV46" s="256">
        <f>IF(AND('Assumptions '!$M$62='Pro Forma'!AV2),('Assumptions '!$K$59),'Pro Forma'!$B$2)</f>
        <v>0</v>
      </c>
      <c r="AW46" s="256">
        <f>IF(AND('Assumptions '!$M$62='Pro Forma'!AW2),('Assumptions '!$K$59),'Pro Forma'!$B$2)</f>
        <v>0</v>
      </c>
      <c r="AX46" s="256">
        <f>IF(AND('Assumptions '!$M$62='Pro Forma'!AX2),('Assumptions '!$K$59),'Pro Forma'!$B$2)</f>
        <v>0</v>
      </c>
      <c r="AY46" s="256">
        <f>IF(AND('Assumptions '!$M$62='Pro Forma'!AY2),('Assumptions '!$K$59),'Pro Forma'!$B$2)</f>
        <v>0</v>
      </c>
      <c r="AZ46" s="256">
        <f>IF(AND('Assumptions '!$M$62='Pro Forma'!AZ2),('Assumptions '!$K$59),'Pro Forma'!$B$2)</f>
        <v>0</v>
      </c>
      <c r="BA46" s="256">
        <f>IF(AND('Assumptions '!$M$62='Pro Forma'!BA2),('Assumptions '!$K$59),'Pro Forma'!$B$2)</f>
        <v>0</v>
      </c>
      <c r="BB46" s="256">
        <f>IF(AND('Assumptions '!$M$62='Pro Forma'!BB2),('Assumptions '!$K$59),'Pro Forma'!$B$2)</f>
        <v>0</v>
      </c>
      <c r="BC46" s="256">
        <f>IF(AND('Assumptions '!$M$62='Pro Forma'!BC2),('Assumptions '!$K$59),'Pro Forma'!$B$2)</f>
        <v>0</v>
      </c>
      <c r="BD46" s="256">
        <f>IF(AND('Assumptions '!$M$62='Pro Forma'!BD2),('Assumptions '!$K$59),'Pro Forma'!$B$2)</f>
        <v>0</v>
      </c>
      <c r="BE46" s="256">
        <f>IF(AND('Assumptions '!$M$62='Pro Forma'!BE2),('Assumptions '!$K$59),'Pro Forma'!$B$2)</f>
        <v>0</v>
      </c>
      <c r="BF46" s="256">
        <f>IF(AND('Assumptions '!$M$62='Pro Forma'!BF2),('Assumptions '!$K$59),'Pro Forma'!$B$2)</f>
        <v>0</v>
      </c>
      <c r="BG46" s="256">
        <f>IF(AND('Assumptions '!$M$62='Pro Forma'!BG2),('Assumptions '!$K$59),'Pro Forma'!$B$2)</f>
        <v>0</v>
      </c>
      <c r="BH46" s="256">
        <f>IF(AND('Assumptions '!$M$62='Pro Forma'!BH2),('Assumptions '!$K$59),'Pro Forma'!$B$2)</f>
        <v>0</v>
      </c>
      <c r="BI46" s="256">
        <f>IF(AND('Assumptions '!$M$62='Pro Forma'!BI2),('Assumptions '!$K$59),'Pro Forma'!$B$2)</f>
        <v>0</v>
      </c>
      <c r="BJ46" s="256">
        <f>IF(AND('Assumptions '!$M$62='Pro Forma'!BJ2),('Assumptions '!$K$59),'Pro Forma'!$B$2)</f>
        <v>0</v>
      </c>
      <c r="BK46" s="256">
        <f>IF(AND('Assumptions '!$M$62='Pro Forma'!BK2),('Assumptions '!$K$59),'Pro Forma'!$B$2)</f>
        <v>0</v>
      </c>
      <c r="BL46" s="267" t="s">
        <v>147</v>
      </c>
      <c r="BM46" s="271" t="s">
        <v>148</v>
      </c>
    </row>
    <row r="47" spans="1:65" s="130" customFormat="1" ht="24" customHeight="1" thickBot="1">
      <c r="A47" s="273" t="s">
        <v>76</v>
      </c>
      <c r="B47" s="261">
        <f>B6</f>
        <v>-455000</v>
      </c>
      <c r="C47" s="261">
        <f aca="true" t="shared" si="44" ref="C47:N47">SUM(C42:C44)</f>
        <v>3132.97</v>
      </c>
      <c r="D47" s="261">
        <f t="shared" si="44"/>
        <v>3132.97</v>
      </c>
      <c r="E47" s="261">
        <f t="shared" si="44"/>
        <v>3132.97</v>
      </c>
      <c r="F47" s="261">
        <f t="shared" si="44"/>
        <v>3132.97</v>
      </c>
      <c r="G47" s="261">
        <f t="shared" si="44"/>
        <v>3132.97</v>
      </c>
      <c r="H47" s="261">
        <f t="shared" si="44"/>
        <v>3132.97</v>
      </c>
      <c r="I47" s="261">
        <f t="shared" si="44"/>
        <v>3132.97</v>
      </c>
      <c r="J47" s="261">
        <f t="shared" si="44"/>
        <v>3132.97</v>
      </c>
      <c r="K47" s="261">
        <f t="shared" si="44"/>
        <v>3132.97</v>
      </c>
      <c r="L47" s="261">
        <f t="shared" si="44"/>
        <v>3132.97</v>
      </c>
      <c r="M47" s="261">
        <f t="shared" si="44"/>
        <v>3132.97</v>
      </c>
      <c r="N47" s="261">
        <f t="shared" si="44"/>
        <v>3132.97</v>
      </c>
      <c r="O47" s="262">
        <f>SUM(O42:O46)</f>
        <v>37595.64</v>
      </c>
      <c r="P47" s="262">
        <f aca="true" t="shared" si="45" ref="P47:BE47">SUM(P42:P46)</f>
        <v>3191.5647333333336</v>
      </c>
      <c r="Q47" s="262">
        <f t="shared" si="45"/>
        <v>3191.5647333333336</v>
      </c>
      <c r="R47" s="262">
        <f t="shared" si="45"/>
        <v>3191.5647333333336</v>
      </c>
      <c r="S47" s="262">
        <f t="shared" si="45"/>
        <v>3191.5647333333336</v>
      </c>
      <c r="T47" s="262">
        <f t="shared" si="45"/>
        <v>3191.5647333333336</v>
      </c>
      <c r="U47" s="262">
        <f t="shared" si="45"/>
        <v>3191.5647333333336</v>
      </c>
      <c r="V47" s="262">
        <f t="shared" si="45"/>
        <v>3191.5647333333336</v>
      </c>
      <c r="W47" s="262">
        <f t="shared" si="45"/>
        <v>3191.5647333333336</v>
      </c>
      <c r="X47" s="262">
        <f t="shared" si="45"/>
        <v>3191.5647333333336</v>
      </c>
      <c r="Y47" s="262">
        <f t="shared" si="45"/>
        <v>3191.5647333333336</v>
      </c>
      <c r="Z47" s="262">
        <f t="shared" si="45"/>
        <v>3191.5647333333336</v>
      </c>
      <c r="AA47" s="262">
        <f t="shared" si="45"/>
        <v>3191.5647333333336</v>
      </c>
      <c r="AB47" s="262">
        <f t="shared" si="45"/>
        <v>38298.7768</v>
      </c>
      <c r="AC47" s="262">
        <f t="shared" si="45"/>
        <v>3251.3313613333335</v>
      </c>
      <c r="AD47" s="262">
        <f t="shared" si="45"/>
        <v>3020.5232164333333</v>
      </c>
      <c r="AE47" s="262">
        <f t="shared" si="45"/>
        <v>3009.5797742353334</v>
      </c>
      <c r="AF47" s="262">
        <f t="shared" si="45"/>
        <v>2998.4174631933734</v>
      </c>
      <c r="AG47" s="262">
        <f t="shared" si="45"/>
        <v>2987.0319059305743</v>
      </c>
      <c r="AH47" s="262">
        <f t="shared" si="45"/>
        <v>2975.418637522519</v>
      </c>
      <c r="AI47" s="262">
        <f t="shared" si="45"/>
        <v>2963.573103746303</v>
      </c>
      <c r="AJ47" s="262">
        <f t="shared" si="45"/>
        <v>1284.8239926278952</v>
      </c>
      <c r="AK47" s="262">
        <f t="shared" si="45"/>
        <v>3197.024518930011</v>
      </c>
      <c r="AL47" s="262">
        <f t="shared" si="45"/>
        <v>3189.6111027819447</v>
      </c>
      <c r="AM47" s="262">
        <f t="shared" si="45"/>
        <v>3182.0494183109163</v>
      </c>
      <c r="AN47" s="262">
        <f t="shared" si="45"/>
        <v>3174.3365001504685</v>
      </c>
      <c r="AO47" s="262">
        <f t="shared" si="45"/>
        <v>39015.976336</v>
      </c>
      <c r="AP47" s="262">
        <f t="shared" si="45"/>
        <v>37592.50355296</v>
      </c>
      <c r="AQ47" s="262">
        <f t="shared" si="45"/>
        <v>38295.5776240192</v>
      </c>
      <c r="AR47" s="262">
        <f t="shared" si="45"/>
        <v>39012.71317649958</v>
      </c>
      <c r="AS47" s="262">
        <f t="shared" si="45"/>
        <v>39744.19144002958</v>
      </c>
      <c r="AT47" s="262">
        <f t="shared" si="45"/>
        <v>40490.29926883016</v>
      </c>
      <c r="AU47" s="262">
        <f t="shared" si="45"/>
        <v>41251.329254206765</v>
      </c>
      <c r="AV47" s="262">
        <f t="shared" si="45"/>
        <v>26027.579839290902</v>
      </c>
      <c r="AW47" s="262">
        <f t="shared" si="45"/>
        <v>45294.79178464848</v>
      </c>
      <c r="AX47" s="262">
        <f t="shared" si="45"/>
        <v>46151.91162034144</v>
      </c>
      <c r="AY47" s="262">
        <f t="shared" si="45"/>
        <v>47026.17385274828</v>
      </c>
      <c r="AZ47" s="262">
        <f t="shared" si="45"/>
        <v>47917.921329803234</v>
      </c>
      <c r="BA47" s="262">
        <f t="shared" si="45"/>
        <v>16827.503756399306</v>
      </c>
      <c r="BB47" s="262">
        <f t="shared" si="45"/>
        <v>49755.27783152728</v>
      </c>
      <c r="BC47" s="262">
        <f t="shared" si="45"/>
        <v>50701.60738815783</v>
      </c>
      <c r="BD47" s="262">
        <f t="shared" si="45"/>
        <v>51666.863535920995</v>
      </c>
      <c r="BE47" s="262">
        <f t="shared" si="45"/>
        <v>52651.424806639414</v>
      </c>
      <c r="BF47" s="262">
        <f aca="true" t="shared" si="46" ref="BF47:BK47">SUM(BF42:BF46)</f>
        <v>53655.6773027722</v>
      </c>
      <c r="BG47" s="262">
        <f t="shared" si="46"/>
        <v>54680.01484882764</v>
      </c>
      <c r="BH47" s="262">
        <f t="shared" si="46"/>
        <v>55724.83914580419</v>
      </c>
      <c r="BI47" s="262">
        <f t="shared" si="46"/>
        <v>56790.55992872027</v>
      </c>
      <c r="BJ47" s="262">
        <f t="shared" si="46"/>
        <v>57877.59512729467</v>
      </c>
      <c r="BK47" s="262">
        <f t="shared" si="46"/>
        <v>58986.37102984057</v>
      </c>
      <c r="BL47" s="264">
        <f>'Assumptions '!C20</f>
        <v>150150</v>
      </c>
      <c r="BM47" s="255">
        <f>BM50</f>
        <v>1273183.1205812818</v>
      </c>
    </row>
    <row r="48" spans="1:65" s="130" customFormat="1" ht="16.5" hidden="1" thickTop="1">
      <c r="A48" s="270" t="s">
        <v>180</v>
      </c>
      <c r="B48" s="258"/>
      <c r="C48" s="258"/>
      <c r="D48" s="258"/>
      <c r="E48" s="258"/>
      <c r="F48" s="258"/>
      <c r="G48" s="258"/>
      <c r="H48" s="258"/>
      <c r="I48" s="258"/>
      <c r="J48" s="258"/>
      <c r="K48" s="258"/>
      <c r="L48" s="258"/>
      <c r="M48" s="258"/>
      <c r="N48" s="258"/>
      <c r="O48" s="276">
        <v>0</v>
      </c>
      <c r="P48" s="276"/>
      <c r="Q48" s="276"/>
      <c r="R48" s="276"/>
      <c r="S48" s="276"/>
      <c r="T48" s="276"/>
      <c r="U48" s="276"/>
      <c r="V48" s="276"/>
      <c r="W48" s="276"/>
      <c r="X48" s="276"/>
      <c r="Y48" s="276"/>
      <c r="Z48" s="276"/>
      <c r="AA48" s="276"/>
      <c r="AB48" s="276">
        <f aca="true" t="shared" si="47" ref="AB48:AO48">O49</f>
        <v>37595.64</v>
      </c>
      <c r="AC48" s="276">
        <f t="shared" si="47"/>
        <v>0</v>
      </c>
      <c r="AD48" s="276">
        <f t="shared" si="47"/>
        <v>0</v>
      </c>
      <c r="AE48" s="276">
        <f t="shared" si="47"/>
        <v>0</v>
      </c>
      <c r="AF48" s="276">
        <f t="shared" si="47"/>
        <v>0</v>
      </c>
      <c r="AG48" s="276">
        <f t="shared" si="47"/>
        <v>0</v>
      </c>
      <c r="AH48" s="276">
        <f t="shared" si="47"/>
        <v>0</v>
      </c>
      <c r="AI48" s="276">
        <f t="shared" si="47"/>
        <v>0</v>
      </c>
      <c r="AJ48" s="276">
        <f t="shared" si="47"/>
        <v>0</v>
      </c>
      <c r="AK48" s="276">
        <f t="shared" si="47"/>
        <v>0</v>
      </c>
      <c r="AL48" s="276">
        <f t="shared" si="47"/>
        <v>0</v>
      </c>
      <c r="AM48" s="276">
        <f t="shared" si="47"/>
        <v>0</v>
      </c>
      <c r="AN48" s="276">
        <f t="shared" si="47"/>
        <v>0</v>
      </c>
      <c r="AO48" s="276">
        <f t="shared" si="47"/>
        <v>75894.4168</v>
      </c>
      <c r="AP48" s="276">
        <f>AO49</f>
        <v>114910.393136</v>
      </c>
      <c r="AQ48" s="276">
        <f aca="true" t="shared" si="48" ref="AQ48:BF48">AP49</f>
        <v>152502.89668896</v>
      </c>
      <c r="AR48" s="276">
        <f t="shared" si="48"/>
        <v>190798.4743129792</v>
      </c>
      <c r="AS48" s="276">
        <f t="shared" si="48"/>
        <v>229811.1874894788</v>
      </c>
      <c r="AT48" s="276">
        <f t="shared" si="48"/>
        <v>269555.3789295084</v>
      </c>
      <c r="AU48" s="276">
        <f t="shared" si="48"/>
        <v>310045.67819833854</v>
      </c>
      <c r="AV48" s="276">
        <f t="shared" si="48"/>
        <v>351297.00745254534</v>
      </c>
      <c r="AW48" s="276">
        <f t="shared" si="48"/>
        <v>377324.5872918362</v>
      </c>
      <c r="AX48" s="276">
        <f t="shared" si="48"/>
        <v>422619.3790764847</v>
      </c>
      <c r="AY48" s="276">
        <f t="shared" si="48"/>
        <v>468771.2906968261</v>
      </c>
      <c r="AZ48" s="276">
        <f t="shared" si="48"/>
        <v>515797.4645495744</v>
      </c>
      <c r="BA48" s="276">
        <f t="shared" si="48"/>
        <v>563715.3858793776</v>
      </c>
      <c r="BB48" s="276">
        <f t="shared" si="48"/>
        <v>580542.8896357769</v>
      </c>
      <c r="BC48" s="276">
        <f t="shared" si="48"/>
        <v>630298.1674673042</v>
      </c>
      <c r="BD48" s="276">
        <f t="shared" si="48"/>
        <v>680999.774855462</v>
      </c>
      <c r="BE48" s="276">
        <f t="shared" si="48"/>
        <v>732666.638391383</v>
      </c>
      <c r="BF48" s="276">
        <f t="shared" si="48"/>
        <v>785318.0631980224</v>
      </c>
      <c r="BG48" s="276">
        <f>BF49</f>
        <v>838973.7405007946</v>
      </c>
      <c r="BH48" s="276">
        <f>BG49</f>
        <v>893653.7553496222</v>
      </c>
      <c r="BI48" s="276">
        <f>BH49</f>
        <v>949378.5944954264</v>
      </c>
      <c r="BJ48" s="276">
        <f>BI49</f>
        <v>1006169.1544241466</v>
      </c>
      <c r="BK48" s="276">
        <f>BJ49</f>
        <v>1064046.7495514413</v>
      </c>
      <c r="BL48" s="264"/>
      <c r="BM48" s="255"/>
    </row>
    <row r="49" spans="1:65" s="130" customFormat="1" ht="15.75" hidden="1">
      <c r="A49" s="270" t="s">
        <v>181</v>
      </c>
      <c r="B49" s="258"/>
      <c r="C49" s="258"/>
      <c r="D49" s="258"/>
      <c r="E49" s="258"/>
      <c r="F49" s="258"/>
      <c r="G49" s="258"/>
      <c r="H49" s="258"/>
      <c r="I49" s="258"/>
      <c r="J49" s="258"/>
      <c r="K49" s="258"/>
      <c r="L49" s="258"/>
      <c r="M49" s="258"/>
      <c r="N49" s="258"/>
      <c r="O49" s="276">
        <f>O47</f>
        <v>37595.64</v>
      </c>
      <c r="P49" s="276"/>
      <c r="Q49" s="276"/>
      <c r="R49" s="276"/>
      <c r="S49" s="276"/>
      <c r="T49" s="276"/>
      <c r="U49" s="276"/>
      <c r="V49" s="276"/>
      <c r="W49" s="276"/>
      <c r="X49" s="276"/>
      <c r="Y49" s="276"/>
      <c r="Z49" s="276"/>
      <c r="AA49" s="276"/>
      <c r="AB49" s="276">
        <f>SUM(AB47:AB48)</f>
        <v>75894.4168</v>
      </c>
      <c r="AC49" s="276">
        <f aca="true" t="shared" si="49" ref="AC49:AN49">SUM(AC47:AC48)</f>
        <v>3251.3313613333335</v>
      </c>
      <c r="AD49" s="276">
        <f t="shared" si="49"/>
        <v>3020.5232164333333</v>
      </c>
      <c r="AE49" s="276">
        <f t="shared" si="49"/>
        <v>3009.5797742353334</v>
      </c>
      <c r="AF49" s="276">
        <f t="shared" si="49"/>
        <v>2998.4174631933734</v>
      </c>
      <c r="AG49" s="276">
        <f t="shared" si="49"/>
        <v>2987.0319059305743</v>
      </c>
      <c r="AH49" s="276">
        <f t="shared" si="49"/>
        <v>2975.418637522519</v>
      </c>
      <c r="AI49" s="276">
        <f t="shared" si="49"/>
        <v>2963.573103746303</v>
      </c>
      <c r="AJ49" s="276">
        <f t="shared" si="49"/>
        <v>1284.8239926278952</v>
      </c>
      <c r="AK49" s="276">
        <f t="shared" si="49"/>
        <v>3197.024518930011</v>
      </c>
      <c r="AL49" s="276">
        <f t="shared" si="49"/>
        <v>3189.6111027819447</v>
      </c>
      <c r="AM49" s="276">
        <f t="shared" si="49"/>
        <v>3182.0494183109163</v>
      </c>
      <c r="AN49" s="276">
        <f t="shared" si="49"/>
        <v>3174.3365001504685</v>
      </c>
      <c r="AO49" s="276">
        <f aca="true" t="shared" si="50" ref="AO49:BF49">SUM(AO47:AO48)</f>
        <v>114910.393136</v>
      </c>
      <c r="AP49" s="276">
        <f t="shared" si="50"/>
        <v>152502.89668896</v>
      </c>
      <c r="AQ49" s="276">
        <f t="shared" si="50"/>
        <v>190798.4743129792</v>
      </c>
      <c r="AR49" s="276">
        <f t="shared" si="50"/>
        <v>229811.1874894788</v>
      </c>
      <c r="AS49" s="276">
        <f t="shared" si="50"/>
        <v>269555.3789295084</v>
      </c>
      <c r="AT49" s="276">
        <f t="shared" si="50"/>
        <v>310045.67819833854</v>
      </c>
      <c r="AU49" s="276">
        <f t="shared" si="50"/>
        <v>351297.00745254534</v>
      </c>
      <c r="AV49" s="276">
        <f t="shared" si="50"/>
        <v>377324.5872918362</v>
      </c>
      <c r="AW49" s="276">
        <f t="shared" si="50"/>
        <v>422619.3790764847</v>
      </c>
      <c r="AX49" s="276">
        <f t="shared" si="50"/>
        <v>468771.2906968261</v>
      </c>
      <c r="AY49" s="276">
        <f t="shared" si="50"/>
        <v>515797.4645495744</v>
      </c>
      <c r="AZ49" s="276">
        <f t="shared" si="50"/>
        <v>563715.3858793776</v>
      </c>
      <c r="BA49" s="276">
        <f t="shared" si="50"/>
        <v>580542.8896357769</v>
      </c>
      <c r="BB49" s="276">
        <f t="shared" si="50"/>
        <v>630298.1674673042</v>
      </c>
      <c r="BC49" s="276">
        <f t="shared" si="50"/>
        <v>680999.774855462</v>
      </c>
      <c r="BD49" s="276">
        <f t="shared" si="50"/>
        <v>732666.638391383</v>
      </c>
      <c r="BE49" s="276">
        <f t="shared" si="50"/>
        <v>785318.0631980224</v>
      </c>
      <c r="BF49" s="276">
        <f t="shared" si="50"/>
        <v>838973.7405007946</v>
      </c>
      <c r="BG49" s="276">
        <f>SUM(BG47:BG48)</f>
        <v>893653.7553496222</v>
      </c>
      <c r="BH49" s="276">
        <f>SUM(BH47:BH48)</f>
        <v>949378.5944954264</v>
      </c>
      <c r="BI49" s="276">
        <f>SUM(BI47:BI48)</f>
        <v>1006169.1544241466</v>
      </c>
      <c r="BJ49" s="276">
        <f>SUM(BJ47:BJ48)</f>
        <v>1064046.7495514413</v>
      </c>
      <c r="BK49" s="276">
        <f>SUM(BK47:BK48)</f>
        <v>1123033.1205812818</v>
      </c>
      <c r="BL49" s="264"/>
      <c r="BM49" s="255"/>
    </row>
    <row r="50" spans="1:65" s="319" customFormat="1" ht="15.75" hidden="1">
      <c r="A50" s="316" t="s">
        <v>168</v>
      </c>
      <c r="B50" s="317">
        <f>B47</f>
        <v>-455000</v>
      </c>
      <c r="C50" s="317"/>
      <c r="D50" s="317"/>
      <c r="E50" s="317"/>
      <c r="F50" s="317"/>
      <c r="G50" s="317"/>
      <c r="H50" s="317"/>
      <c r="I50" s="317"/>
      <c r="J50" s="317"/>
      <c r="K50" s="317"/>
      <c r="L50" s="317"/>
      <c r="M50" s="317"/>
      <c r="N50" s="317"/>
      <c r="O50" s="318">
        <f>O47</f>
        <v>37595.64</v>
      </c>
      <c r="P50" s="318"/>
      <c r="Q50" s="318"/>
      <c r="R50" s="318"/>
      <c r="S50" s="318"/>
      <c r="T50" s="318"/>
      <c r="U50" s="318"/>
      <c r="V50" s="318"/>
      <c r="W50" s="318"/>
      <c r="X50" s="318"/>
      <c r="Y50" s="318"/>
      <c r="Z50" s="318"/>
      <c r="AA50" s="318"/>
      <c r="AB50" s="318">
        <f>AB47</f>
        <v>38298.7768</v>
      </c>
      <c r="AC50" s="318"/>
      <c r="AD50" s="318"/>
      <c r="AE50" s="318"/>
      <c r="AF50" s="318"/>
      <c r="AG50" s="318"/>
      <c r="AH50" s="318"/>
      <c r="AI50" s="318"/>
      <c r="AJ50" s="318"/>
      <c r="AK50" s="318"/>
      <c r="AL50" s="318"/>
      <c r="AM50" s="318"/>
      <c r="AN50" s="318"/>
      <c r="AO50" s="318">
        <f>AO47</f>
        <v>39015.976336</v>
      </c>
      <c r="AP50" s="318">
        <f aca="true" t="shared" si="51" ref="AP50:BF50">AP47</f>
        <v>37592.50355296</v>
      </c>
      <c r="AQ50" s="318">
        <f t="shared" si="51"/>
        <v>38295.5776240192</v>
      </c>
      <c r="AR50" s="318">
        <f t="shared" si="51"/>
        <v>39012.71317649958</v>
      </c>
      <c r="AS50" s="318">
        <f t="shared" si="51"/>
        <v>39744.19144002958</v>
      </c>
      <c r="AT50" s="318">
        <f t="shared" si="51"/>
        <v>40490.29926883016</v>
      </c>
      <c r="AU50" s="318">
        <f t="shared" si="51"/>
        <v>41251.329254206765</v>
      </c>
      <c r="AV50" s="318">
        <f t="shared" si="51"/>
        <v>26027.579839290902</v>
      </c>
      <c r="AW50" s="318">
        <f t="shared" si="51"/>
        <v>45294.79178464848</v>
      </c>
      <c r="AX50" s="318">
        <f t="shared" si="51"/>
        <v>46151.91162034144</v>
      </c>
      <c r="AY50" s="318">
        <f t="shared" si="51"/>
        <v>47026.17385274828</v>
      </c>
      <c r="AZ50" s="318">
        <f t="shared" si="51"/>
        <v>47917.921329803234</v>
      </c>
      <c r="BA50" s="318">
        <f t="shared" si="51"/>
        <v>16827.503756399306</v>
      </c>
      <c r="BB50" s="318">
        <f t="shared" si="51"/>
        <v>49755.27783152728</v>
      </c>
      <c r="BC50" s="318">
        <f t="shared" si="51"/>
        <v>50701.60738815783</v>
      </c>
      <c r="BD50" s="318">
        <f t="shared" si="51"/>
        <v>51666.863535920995</v>
      </c>
      <c r="BE50" s="318">
        <f t="shared" si="51"/>
        <v>52651.424806639414</v>
      </c>
      <c r="BF50" s="318">
        <f t="shared" si="51"/>
        <v>53655.6773027722</v>
      </c>
      <c r="BG50" s="318">
        <f aca="true" t="shared" si="52" ref="BG50:BL50">BG47</f>
        <v>54680.01484882764</v>
      </c>
      <c r="BH50" s="318">
        <f t="shared" si="52"/>
        <v>55724.83914580419</v>
      </c>
      <c r="BI50" s="318">
        <f t="shared" si="52"/>
        <v>56790.55992872027</v>
      </c>
      <c r="BJ50" s="318">
        <f t="shared" si="52"/>
        <v>57877.59512729467</v>
      </c>
      <c r="BK50" s="318">
        <f t="shared" si="52"/>
        <v>58986.37102984057</v>
      </c>
      <c r="BL50" s="317">
        <f t="shared" si="52"/>
        <v>150150</v>
      </c>
      <c r="BM50" s="317">
        <f>SUM(O50:BL50)</f>
        <v>1273183.1205812818</v>
      </c>
    </row>
    <row r="51" spans="1:65" s="130" customFormat="1" ht="16.5" thickTop="1">
      <c r="A51" s="270"/>
      <c r="B51" s="258"/>
      <c r="C51" s="258"/>
      <c r="D51" s="258"/>
      <c r="E51" s="258"/>
      <c r="F51" s="258"/>
      <c r="G51" s="258"/>
      <c r="H51" s="258"/>
      <c r="I51" s="258"/>
      <c r="J51" s="258"/>
      <c r="K51" s="258"/>
      <c r="L51" s="258"/>
      <c r="M51" s="258"/>
      <c r="N51" s="258"/>
      <c r="O51" s="320"/>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64"/>
      <c r="BM51" s="255"/>
    </row>
    <row r="52" spans="1:64" s="130" customFormat="1" ht="16.5" customHeight="1">
      <c r="A52" s="272" t="s">
        <v>167</v>
      </c>
      <c r="B52" s="255"/>
      <c r="C52" s="255"/>
      <c r="D52" s="255"/>
      <c r="E52" s="255"/>
      <c r="F52" s="255"/>
      <c r="G52" s="255"/>
      <c r="H52" s="255"/>
      <c r="I52" s="255"/>
      <c r="J52" s="255"/>
      <c r="K52" s="255"/>
      <c r="L52" s="255"/>
      <c r="M52" s="255"/>
      <c r="N52" s="255"/>
      <c r="O52" s="257"/>
      <c r="P52" s="255"/>
      <c r="Q52" s="255"/>
      <c r="R52" s="255"/>
      <c r="S52" s="255"/>
      <c r="T52" s="255"/>
      <c r="U52" s="255"/>
      <c r="V52" s="255"/>
      <c r="W52" s="255"/>
      <c r="X52" s="255"/>
      <c r="Y52" s="255"/>
      <c r="Z52" s="255"/>
      <c r="AA52" s="255"/>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5"/>
    </row>
    <row r="53" spans="1:63" s="130" customFormat="1" ht="15">
      <c r="A53" s="274" t="str">
        <f>A72</f>
        <v>Equity Investor #1</v>
      </c>
      <c r="B53" s="255">
        <f>B6+B46</f>
        <v>-455000</v>
      </c>
      <c r="C53" s="255"/>
      <c r="D53" s="255"/>
      <c r="E53" s="255"/>
      <c r="F53" s="255"/>
      <c r="G53" s="255"/>
      <c r="H53" s="255"/>
      <c r="I53" s="255"/>
      <c r="J53" s="255"/>
      <c r="K53" s="255"/>
      <c r="L53" s="255"/>
      <c r="M53" s="255"/>
      <c r="N53" s="255"/>
      <c r="O53" s="256">
        <f>IF(AND(O$2&lt;='Assumptions '!$E$73,'Pro Forma'!O$2&gt;='Assumptions '!$D$73),('Pro Forma'!O$47*'Assumptions '!$C$73),('Pro Forma'!O$47*'Assumptions '!$C$74))</f>
        <v>37595.64</v>
      </c>
      <c r="P53" s="264"/>
      <c r="Q53" s="264"/>
      <c r="R53" s="264"/>
      <c r="S53" s="264"/>
      <c r="T53" s="264"/>
      <c r="U53" s="264"/>
      <c r="V53" s="264"/>
      <c r="W53" s="264"/>
      <c r="X53" s="264"/>
      <c r="Y53" s="264"/>
      <c r="Z53" s="264"/>
      <c r="AA53" s="264"/>
      <c r="AB53" s="256">
        <f>IF(AND(AB$2&lt;='Assumptions '!$E$73,'Pro Forma'!AB$2&gt;='Assumptions '!$D$73),('Pro Forma'!AB$47*'Assumptions '!$C$73),('Pro Forma'!AB$47*'Assumptions '!$C$74))</f>
        <v>38298.7768</v>
      </c>
      <c r="AC53" s="256"/>
      <c r="AD53" s="256"/>
      <c r="AE53" s="256"/>
      <c r="AF53" s="256"/>
      <c r="AG53" s="256"/>
      <c r="AH53" s="256"/>
      <c r="AI53" s="256"/>
      <c r="AJ53" s="256"/>
      <c r="AK53" s="256"/>
      <c r="AL53" s="256"/>
      <c r="AM53" s="256"/>
      <c r="AN53" s="256"/>
      <c r="AO53" s="256">
        <f>IF(AND(AO$2&lt;='Assumptions '!$E$73,'Pro Forma'!AO$2&gt;='Assumptions '!$D$73),('Pro Forma'!AO$47*'Assumptions '!$C$73),('Pro Forma'!AO$47*'Assumptions '!$C$74))</f>
        <v>39015.976336</v>
      </c>
      <c r="AP53" s="256">
        <f>IF(AND(AP$2&lt;='Assumptions '!$E$73,'Pro Forma'!AP$2&gt;='Assumptions '!$D$73),('Pro Forma'!AP$47*'Assumptions '!$C$73),('Pro Forma'!AP$47*'Assumptions '!$C$74))</f>
        <v>37592.50355296</v>
      </c>
      <c r="AQ53" s="256">
        <f>IF(AND(AQ$2&lt;='Assumptions '!$E$73,'Pro Forma'!AQ$2&gt;='Assumptions '!$D$73),('Pro Forma'!AQ$47*'Assumptions '!$C$73),('Pro Forma'!AQ$47*'Assumptions '!$C$74))</f>
        <v>38295.5776240192</v>
      </c>
      <c r="AR53" s="256">
        <f>IF(AND(AR$2&lt;='Assumptions '!$E$73,'Pro Forma'!AR$2&gt;='Assumptions '!$D$73),('Pro Forma'!AR$47*'Assumptions '!$C$73),('Pro Forma'!AR$47*'Assumptions '!$C$74))</f>
        <v>39012.71317649958</v>
      </c>
      <c r="AS53" s="256">
        <f>IF(AND(AS$2&lt;='Assumptions '!$E$73,'Pro Forma'!AS$2&gt;='Assumptions '!$D$73),('Pro Forma'!AS$47*'Assumptions '!$C$73),('Pro Forma'!AS$47*'Assumptions '!$C$74))</f>
        <v>39744.19144002958</v>
      </c>
      <c r="AT53" s="256">
        <f>IF(AND(AT$2&lt;='Assumptions '!$E$73,'Pro Forma'!AT$2&gt;='Assumptions '!$D$73),('Pro Forma'!AT$47*'Assumptions '!$C$73),('Pro Forma'!AT$47*'Assumptions '!$C$74))</f>
        <v>40490.29926883016</v>
      </c>
      <c r="AU53" s="256">
        <f>IF(AND(AU$2&lt;='Assumptions '!$E$73,'Pro Forma'!AU$2&gt;='Assumptions '!$D$73),('Pro Forma'!AU$47*'Assumptions '!$C$73),('Pro Forma'!AU$47*'Assumptions '!$C$74))</f>
        <v>41251.329254206765</v>
      </c>
      <c r="AV53" s="256">
        <f>IF(AND(AV$2&lt;='Assumptions '!$E$73,'Pro Forma'!AV$2&gt;='Assumptions '!$D$73),('Pro Forma'!AV$47*'Assumptions '!$C$73),('Pro Forma'!AV$47*'Assumptions '!$C$74))</f>
        <v>26027.579839290902</v>
      </c>
      <c r="AW53" s="256">
        <f>IF(AND(AW$2&lt;='Assumptions '!$E$73,'Pro Forma'!AW$2&gt;='Assumptions '!$D$73),('Pro Forma'!AW$47*'Assumptions '!$C$73),('Pro Forma'!AW$47*'Assumptions '!$C$74))</f>
        <v>45294.79178464848</v>
      </c>
      <c r="AX53" s="256">
        <f>IF(AND(AX$2&lt;='Assumptions '!$E$73,'Pro Forma'!AX$2&gt;='Assumptions '!$D$73),('Pro Forma'!AX$47*'Assumptions '!$C$73),('Pro Forma'!AX$47*'Assumptions '!$C$74))</f>
        <v>46151.91162034144</v>
      </c>
      <c r="AY53" s="256">
        <f>IF(AND(AY$2&lt;='Assumptions '!$E$73,'Pro Forma'!AY$2&gt;='Assumptions '!$D$73),('Pro Forma'!AY$47*'Assumptions '!$C$73),('Pro Forma'!AY$47*'Assumptions '!$C$74))</f>
        <v>47026.17385274828</v>
      </c>
      <c r="AZ53" s="256">
        <f>IF(AND(AZ$2&lt;='Assumptions '!$E$73,'Pro Forma'!AZ$2&gt;='Assumptions '!$D$73),('Pro Forma'!AZ$47*'Assumptions '!$C$73),('Pro Forma'!AZ$47*'Assumptions '!$C$74))</f>
        <v>47917.921329803234</v>
      </c>
      <c r="BA53" s="256">
        <f>IF(AND(BA$2&lt;='Assumptions '!$E$73,'Pro Forma'!BA$2&gt;='Assumptions '!$D$73),('Pro Forma'!BA$47*'Assumptions '!$C$73),('Pro Forma'!BA$47*'Assumptions '!$C$74))</f>
        <v>16827.503756399306</v>
      </c>
      <c r="BB53" s="256">
        <f>IF(AND(BB$2&lt;='Assumptions '!$E$73,'Pro Forma'!BB$2&gt;='Assumptions '!$D$73),('Pro Forma'!BB$47*'Assumptions '!$C$73),('Pro Forma'!BB$47*'Assumptions '!$C$74))</f>
        <v>49755.27783152728</v>
      </c>
      <c r="BC53" s="256">
        <f>IF(AND(BC$2&lt;='Assumptions '!$E$73,'Pro Forma'!BC$2&gt;='Assumptions '!$D$73),('Pro Forma'!BC$47*'Assumptions '!$C$73),('Pro Forma'!BC$47*'Assumptions '!$C$74))</f>
        <v>50701.60738815783</v>
      </c>
      <c r="BD53" s="256">
        <f>IF(AND(BD$2&lt;='Assumptions '!$E$73,'Pro Forma'!BD$2&gt;='Assumptions '!$D$73),('Pro Forma'!BD$47*'Assumptions '!$C$73),('Pro Forma'!BD$47*'Assumptions '!$C$74))</f>
        <v>51666.863535920995</v>
      </c>
      <c r="BE53" s="256">
        <f>IF(AND(BE$2&lt;='Assumptions '!$E$73,'Pro Forma'!BE$2&gt;='Assumptions '!$D$73),('Pro Forma'!BE$47*'Assumptions '!$C$73),('Pro Forma'!BE$47*'Assumptions '!$C$74))</f>
        <v>52651.424806639414</v>
      </c>
      <c r="BF53" s="256">
        <f>IF(AND(BF$2&lt;='Assumptions '!$E$73,'Pro Forma'!BF$2&gt;='Assumptions '!$D$73),('Pro Forma'!BF$47*'Assumptions '!$C$73),('Pro Forma'!BF$47*'Assumptions '!$C$74))</f>
        <v>53655.6773027722</v>
      </c>
      <c r="BG53" s="256">
        <f>IF(AND(BG$2&lt;='Assumptions '!$E$73,'Pro Forma'!BG$2&gt;='Assumptions '!$D$73),('Pro Forma'!BG$47*'Assumptions '!$C$73),('Pro Forma'!BG$47*'Assumptions '!$C$74))</f>
        <v>54680.01484882764</v>
      </c>
      <c r="BH53" s="256">
        <f>IF(AND(BH$2&lt;='Assumptions '!$E$73,'Pro Forma'!BH$2&gt;='Assumptions '!$D$73),('Pro Forma'!BH$47*'Assumptions '!$C$73),('Pro Forma'!BH$47*'Assumptions '!$C$74))</f>
        <v>55724.83914580419</v>
      </c>
      <c r="BI53" s="256">
        <f>IF(AND(BI$2&lt;='Assumptions '!$E$73,'Pro Forma'!BI$2&gt;='Assumptions '!$D$73),('Pro Forma'!BI$47*'Assumptions '!$C$73),('Pro Forma'!BI$47*'Assumptions '!$C$74))</f>
        <v>56790.55992872027</v>
      </c>
      <c r="BJ53" s="256">
        <f>IF(AND(BJ$2&lt;='Assumptions '!$E$73,'Pro Forma'!BJ$2&gt;='Assumptions '!$D$73),('Pro Forma'!BJ$47*'Assumptions '!$C$73),('Pro Forma'!BJ$47*'Assumptions '!$C$74))</f>
        <v>57877.59512729467</v>
      </c>
      <c r="BK53" s="256">
        <f>IF(AND(BK$2&lt;='Assumptions '!$E$73,'Pro Forma'!BK$2&gt;='Assumptions '!$D$73),('Pro Forma'!BK$47*'Assumptions '!$C$73),('Pro Forma'!BK$47*'Assumptions '!$C$74))</f>
        <v>58986.37102984057</v>
      </c>
    </row>
    <row r="54" spans="1:65" s="130" customFormat="1" ht="15">
      <c r="A54" s="274" t="s">
        <v>151</v>
      </c>
      <c r="B54" s="255"/>
      <c r="C54" s="255"/>
      <c r="D54" s="255"/>
      <c r="E54" s="255"/>
      <c r="F54" s="255"/>
      <c r="G54" s="255"/>
      <c r="H54" s="255"/>
      <c r="I54" s="255"/>
      <c r="J54" s="255"/>
      <c r="K54" s="255"/>
      <c r="L54" s="255"/>
      <c r="M54" s="255"/>
      <c r="N54" s="255"/>
      <c r="O54" s="256">
        <f>IF(AND('Assumptions '!$C$72='Pro Forma'!O2),('Calculation Appendix'!B48*'Assumptions '!$C$73),('Pro Forma'!$B$2))</f>
        <v>0</v>
      </c>
      <c r="P54" s="256">
        <f>IF(AND('Assumptions '!$C$72='Pro Forma'!P2),(('Calculation Appendix'!C15-'Calculation Appendix'!C37)*'Assumptions '!$C$76))*('Pro Forma'!$B$2)</f>
        <v>0</v>
      </c>
      <c r="Q54" s="256">
        <f>IF(AND('Assumptions '!$C$72='Pro Forma'!Q2),(('Calculation Appendix'!D15-'Calculation Appendix'!D37)*'Assumptions '!$C$76))*('Pro Forma'!$B$2)</f>
        <v>0</v>
      </c>
      <c r="R54" s="256">
        <f>IF(AND('Assumptions '!$C$72='Pro Forma'!R2),(('Calculation Appendix'!E15-'Calculation Appendix'!E37)*'Assumptions '!$C$76))*('Pro Forma'!$B$2)</f>
        <v>0</v>
      </c>
      <c r="S54" s="256">
        <f>IF(AND('Assumptions '!$C$72='Pro Forma'!S2),(('Calculation Appendix'!F15-'Calculation Appendix'!F37)*'Assumptions '!$C$76))*('Pro Forma'!$B$2)</f>
        <v>0</v>
      </c>
      <c r="T54" s="256">
        <f>IF(AND('Assumptions '!$C$72='Pro Forma'!T2),(('Calculation Appendix'!G15-'Calculation Appendix'!G37)*'Assumptions '!$C$76))*('Pro Forma'!$B$2)</f>
        <v>0</v>
      </c>
      <c r="U54" s="256">
        <f>IF(AND('Assumptions '!$C$72='Pro Forma'!U2),(('Calculation Appendix'!H15-'Calculation Appendix'!H37)*'Assumptions '!$C$76))*('Pro Forma'!$B$2)</f>
        <v>0</v>
      </c>
      <c r="V54" s="256">
        <f>IF(AND('Assumptions '!$C$72='Pro Forma'!V2),(('Calculation Appendix'!I15-'Calculation Appendix'!I37)*'Assumptions '!$C$76))*('Pro Forma'!$B$2)</f>
        <v>0</v>
      </c>
      <c r="W54" s="256">
        <f>IF(AND('Assumptions '!$C$72='Pro Forma'!W2),(('Calculation Appendix'!J15-'Calculation Appendix'!J37)*'Assumptions '!$C$76))*('Pro Forma'!$B$2)</f>
        <v>0</v>
      </c>
      <c r="X54" s="256">
        <f>IF(AND('Assumptions '!$C$72='Pro Forma'!X2),(('Calculation Appendix'!K15-'Calculation Appendix'!K37)*'Assumptions '!$C$76))*('Pro Forma'!$B$2)</f>
        <v>0</v>
      </c>
      <c r="Y54" s="256">
        <f>IF(AND('Assumptions '!$C$72='Pro Forma'!Y2),(('Calculation Appendix'!L15-'Calculation Appendix'!L37)*'Assumptions '!$C$76))*('Pro Forma'!$B$2)</f>
        <v>0</v>
      </c>
      <c r="Z54" s="256">
        <f>IF(AND('Assumptions '!$C$72='Pro Forma'!Z2),(('Calculation Appendix'!M15-'Calculation Appendix'!M37)*'Assumptions '!$C$76))*('Pro Forma'!$B$2)</f>
        <v>0</v>
      </c>
      <c r="AA54" s="256">
        <f>IF(AND('Assumptions '!$C$72='Pro Forma'!AA2),(('Calculation Appendix'!N15-'Calculation Appendix'!N37)*'Assumptions '!$C$76))*('Pro Forma'!$B$2)</f>
        <v>0</v>
      </c>
      <c r="AB54" s="256">
        <f>IF(AND('Assumptions '!$C$72='Pro Forma'!AB2),('Calculation Appendix'!C48*'Assumptions '!$C$73),('Pro Forma'!$B$2))</f>
        <v>0</v>
      </c>
      <c r="AC54" s="256">
        <f>IF(AND('Assumptions '!$C$72='Pro Forma'!AC2),(('Calculation Appendix'!P15-'Calculation Appendix'!P37)*'Assumptions '!$C$76))*('Pro Forma'!$B$2)</f>
        <v>0</v>
      </c>
      <c r="AD54" s="256">
        <f>IF(AND('Assumptions '!$C$72='Pro Forma'!AD2),(('Calculation Appendix'!Q15-'Calculation Appendix'!Q37)*'Assumptions '!$C$76))*('Pro Forma'!$B$2)</f>
        <v>0</v>
      </c>
      <c r="AE54" s="256">
        <f>IF(AND('Assumptions '!$C$72='Pro Forma'!AE2),(('Calculation Appendix'!R15-'Calculation Appendix'!R37)*'Assumptions '!$C$76))*('Pro Forma'!$B$2)</f>
        <v>0</v>
      </c>
      <c r="AF54" s="256">
        <f>IF(AND('Assumptions '!$C$72='Pro Forma'!AF2),(('Calculation Appendix'!S15-'Calculation Appendix'!S37)*'Assumptions '!$C$76))*('Pro Forma'!$B$2)</f>
        <v>0</v>
      </c>
      <c r="AG54" s="256">
        <f>IF(AND('Assumptions '!$C$72='Pro Forma'!AG2),(('Calculation Appendix'!T15-'Calculation Appendix'!T37)*'Assumptions '!$C$76))*('Pro Forma'!$B$2)</f>
        <v>0</v>
      </c>
      <c r="AH54" s="256">
        <f>IF(AND('Assumptions '!$C$72='Pro Forma'!AH2),(('Calculation Appendix'!U15-'Calculation Appendix'!U37)*'Assumptions '!$C$76))*('Pro Forma'!$B$2)</f>
        <v>0</v>
      </c>
      <c r="AI54" s="256">
        <f>IF(AND('Assumptions '!$C$72='Pro Forma'!AI2),(('Calculation Appendix'!AA15-'Calculation Appendix'!V37)*'Assumptions '!$C$76))*('Pro Forma'!$B$2)</f>
        <v>0</v>
      </c>
      <c r="AJ54" s="256">
        <f>IF(AND('Assumptions '!$C$72='Pro Forma'!AJ2),(('Calculation Appendix'!W15-'Calculation Appendix'!W37)*'Assumptions '!$C$76))*('Pro Forma'!$B$2)</f>
        <v>0</v>
      </c>
      <c r="AK54" s="256">
        <f>IF(AND('Assumptions '!$C$72='Pro Forma'!AK2),(('Calculation Appendix'!X15-'Calculation Appendix'!X37)*'Assumptions '!$C$76))*('Pro Forma'!$B$2)</f>
        <v>0</v>
      </c>
      <c r="AL54" s="256">
        <f>IF(AND('Assumptions '!$C$72='Pro Forma'!AL2),(('Calculation Appendix'!Y15-'Calculation Appendix'!Y37)*'Assumptions '!$C$76))*('Pro Forma'!$B$2)</f>
        <v>0</v>
      </c>
      <c r="AM54" s="256">
        <f>IF(AND('Assumptions '!$C$72='Pro Forma'!AM2),(('Calculation Appendix'!Z15-'Calculation Appendix'!Z37)*'Assumptions '!$C$76))*('Pro Forma'!$B$2)</f>
        <v>0</v>
      </c>
      <c r="AN54" s="256">
        <f>IF(AND('Assumptions '!$C$72='Pro Forma'!AN2),(('Calculation Appendix'!#REF!-'Calculation Appendix'!AA37)*'Assumptions '!$C$76))*('Pro Forma'!$B$2)</f>
        <v>0</v>
      </c>
      <c r="AO54" s="256">
        <f>IF(AND('Assumptions '!$C$72='Pro Forma'!AO2),('Calculation Appendix'!D48*'Assumptions '!$C$73),('Pro Forma'!$B$2))</f>
        <v>0</v>
      </c>
      <c r="AP54" s="256">
        <f>IF(AND('Assumptions '!$C$72='Pro Forma'!AP2),('Calculation Appendix'!E48*'Assumptions '!$C$73),('Pro Forma'!$B$2))</f>
        <v>0</v>
      </c>
      <c r="AQ54" s="256">
        <f>IF(AND('Assumptions '!$C$72='Pro Forma'!AQ2),('Calculation Appendix'!F48*'Assumptions '!$C$73),('Pro Forma'!$B$2))</f>
        <v>0</v>
      </c>
      <c r="AR54" s="256">
        <f>IF(AND('Assumptions '!$C$72='Pro Forma'!AR2),('Calculation Appendix'!G48*'Assumptions '!$C$73),('Pro Forma'!$B$2))</f>
        <v>0</v>
      </c>
      <c r="AS54" s="256">
        <f>IF(AND('Assumptions '!$C$72='Pro Forma'!AS2),('Calculation Appendix'!H48*'Assumptions '!$C$73),('Pro Forma'!$B$2))</f>
        <v>0</v>
      </c>
      <c r="AT54" s="256">
        <f>IF(AND('Assumptions '!$C$72='Pro Forma'!AT2),('Calculation Appendix'!I48*'Assumptions '!$C$73),('Pro Forma'!$B$2))</f>
        <v>0</v>
      </c>
      <c r="AU54" s="256">
        <f>IF(AND('Assumptions '!$C$72='Pro Forma'!AU2),('Calculation Appendix'!J48*'Assumptions '!$C$73),('Pro Forma'!$B$2))</f>
        <v>0</v>
      </c>
      <c r="AV54" s="256">
        <f>IF(AND('Assumptions '!$C$72='Pro Forma'!AV2),('Calculation Appendix'!K48*'Assumptions '!$C$73),('Pro Forma'!$B$2))</f>
        <v>0</v>
      </c>
      <c r="AW54" s="256">
        <f>IF(AND('Assumptions '!$C$72='Pro Forma'!AW2),('Calculation Appendix'!L48*'Assumptions '!$C$73),('Pro Forma'!$B$2))</f>
        <v>0</v>
      </c>
      <c r="AX54" s="256">
        <f>IF(AND('Assumptions '!$C$72='Pro Forma'!AX2),('Calculation Appendix'!M48*'Assumptions '!$C$73),('Pro Forma'!$B$2))</f>
        <v>0</v>
      </c>
      <c r="AY54" s="256">
        <f>IF(AND('Assumptions '!$C$72='Pro Forma'!AY2),('Calculation Appendix'!N48*'Assumptions '!$C$73),('Pro Forma'!$B$2))</f>
        <v>0</v>
      </c>
      <c r="AZ54" s="256">
        <f>IF(AND('Assumptions '!$C$72='Pro Forma'!AZ2),('Calculation Appendix'!O48*'Assumptions '!$C$73),('Pro Forma'!$B$2))</f>
        <v>0</v>
      </c>
      <c r="BA54" s="256">
        <f>IF(AND('Assumptions '!$C$72='Pro Forma'!BA2),('Calculation Appendix'!P48*'Assumptions '!$C$73),('Pro Forma'!$B$2))</f>
        <v>0</v>
      </c>
      <c r="BB54" s="256">
        <f>IF(AND('Assumptions '!$C$72='Pro Forma'!BB2),('Calculation Appendix'!Q48*'Assumptions '!$C$73),('Pro Forma'!$B$2))</f>
        <v>0</v>
      </c>
      <c r="BC54" s="256">
        <f>IF(AND('Assumptions '!$C$72='Pro Forma'!BC2),('Calculation Appendix'!R48*'Assumptions '!$C$73),('Pro Forma'!$B$2))</f>
        <v>0</v>
      </c>
      <c r="BD54" s="256">
        <f>IF(AND('Assumptions '!$C$72='Pro Forma'!BD2),('Calculation Appendix'!S48*'Assumptions '!$C$73),('Pro Forma'!$B$2))</f>
        <v>0</v>
      </c>
      <c r="BE54" s="256">
        <f>IF(AND('Assumptions '!$C$72='Pro Forma'!BE2),('Calculation Appendix'!T48*'Assumptions '!$C$73),('Pro Forma'!$B$2))</f>
        <v>0</v>
      </c>
      <c r="BF54" s="256">
        <f>IF(AND('Assumptions '!$C$72='Pro Forma'!BF2),('Calculation Appendix'!U48*'Assumptions '!$C$73),('Pro Forma'!$B$2))</f>
        <v>0</v>
      </c>
      <c r="BG54" s="256">
        <f>IF(AND('Assumptions '!$C$72='Pro Forma'!BG2),('Calculation Appendix'!V48*'Assumptions '!$C$73),('Pro Forma'!$B$2))</f>
        <v>0</v>
      </c>
      <c r="BH54" s="256">
        <f>IF(AND('Assumptions '!$C$72='Pro Forma'!BH2),('Calculation Appendix'!W48*'Assumptions '!$C$73),('Pro Forma'!$B$2))</f>
        <v>0</v>
      </c>
      <c r="BI54" s="256">
        <f>IF(AND('Assumptions '!$C$72='Pro Forma'!BI2),('Calculation Appendix'!X48*'Assumptions '!$C$73),('Pro Forma'!$B$2))</f>
        <v>0</v>
      </c>
      <c r="BJ54" s="256">
        <f>IF(AND('Assumptions '!$C$72='Pro Forma'!BJ2),('Calculation Appendix'!Y48*'Assumptions '!$C$73),('Pro Forma'!$B$2))</f>
        <v>0</v>
      </c>
      <c r="BK54" s="256">
        <f>IF(AND('Assumptions '!$C$72='Pro Forma'!BK2),('Calculation Appendix'!Z48*'Assumptions '!$C$73),('Pro Forma'!$B$2))</f>
        <v>0</v>
      </c>
      <c r="BL54" s="267" t="s">
        <v>147</v>
      </c>
      <c r="BM54" s="271" t="s">
        <v>148</v>
      </c>
    </row>
    <row r="55" spans="1:65" s="130" customFormat="1" ht="15">
      <c r="A55" s="277" t="s">
        <v>145</v>
      </c>
      <c r="B55" s="278">
        <f>B53</f>
        <v>-455000</v>
      </c>
      <c r="C55" s="278"/>
      <c r="D55" s="278"/>
      <c r="E55" s="278"/>
      <c r="F55" s="278"/>
      <c r="G55" s="278"/>
      <c r="H55" s="278"/>
      <c r="I55" s="278"/>
      <c r="J55" s="278"/>
      <c r="K55" s="278"/>
      <c r="L55" s="278"/>
      <c r="M55" s="278"/>
      <c r="N55" s="278"/>
      <c r="O55" s="279">
        <f>SUM(O53:O54)</f>
        <v>37595.64</v>
      </c>
      <c r="P55" s="280"/>
      <c r="Q55" s="280"/>
      <c r="R55" s="280"/>
      <c r="S55" s="280"/>
      <c r="T55" s="280"/>
      <c r="U55" s="280"/>
      <c r="V55" s="280"/>
      <c r="W55" s="280"/>
      <c r="X55" s="280"/>
      <c r="Y55" s="280"/>
      <c r="Z55" s="280"/>
      <c r="AA55" s="280"/>
      <c r="AB55" s="279">
        <f>SUM(AB53:AB54)</f>
        <v>38298.7768</v>
      </c>
      <c r="AC55" s="279"/>
      <c r="AD55" s="279"/>
      <c r="AE55" s="279"/>
      <c r="AF55" s="279"/>
      <c r="AG55" s="279"/>
      <c r="AH55" s="279"/>
      <c r="AI55" s="279"/>
      <c r="AJ55" s="279"/>
      <c r="AK55" s="279"/>
      <c r="AL55" s="279"/>
      <c r="AM55" s="279"/>
      <c r="AN55" s="279"/>
      <c r="AO55" s="279">
        <f>SUM(AO53:AO54)</f>
        <v>39015.976336</v>
      </c>
      <c r="AP55" s="279">
        <f aca="true" t="shared" si="53" ref="AP55:BE55">SUM(AP53:AP54)</f>
        <v>37592.50355296</v>
      </c>
      <c r="AQ55" s="279">
        <f t="shared" si="53"/>
        <v>38295.5776240192</v>
      </c>
      <c r="AR55" s="279">
        <f t="shared" si="53"/>
        <v>39012.71317649958</v>
      </c>
      <c r="AS55" s="279">
        <f t="shared" si="53"/>
        <v>39744.19144002958</v>
      </c>
      <c r="AT55" s="279">
        <f t="shared" si="53"/>
        <v>40490.29926883016</v>
      </c>
      <c r="AU55" s="279">
        <f t="shared" si="53"/>
        <v>41251.329254206765</v>
      </c>
      <c r="AV55" s="279">
        <f t="shared" si="53"/>
        <v>26027.579839290902</v>
      </c>
      <c r="AW55" s="279">
        <f t="shared" si="53"/>
        <v>45294.79178464848</v>
      </c>
      <c r="AX55" s="279">
        <f t="shared" si="53"/>
        <v>46151.91162034144</v>
      </c>
      <c r="AY55" s="279">
        <f t="shared" si="53"/>
        <v>47026.17385274828</v>
      </c>
      <c r="AZ55" s="279">
        <f t="shared" si="53"/>
        <v>47917.921329803234</v>
      </c>
      <c r="BA55" s="279">
        <f t="shared" si="53"/>
        <v>16827.503756399306</v>
      </c>
      <c r="BB55" s="279">
        <f t="shared" si="53"/>
        <v>49755.27783152728</v>
      </c>
      <c r="BC55" s="279">
        <f t="shared" si="53"/>
        <v>50701.60738815783</v>
      </c>
      <c r="BD55" s="279">
        <f t="shared" si="53"/>
        <v>51666.863535920995</v>
      </c>
      <c r="BE55" s="279">
        <f t="shared" si="53"/>
        <v>52651.424806639414</v>
      </c>
      <c r="BF55" s="279">
        <f aca="true" t="shared" si="54" ref="BF55:BK55">SUM(BF53:BF54)</f>
        <v>53655.6773027722</v>
      </c>
      <c r="BG55" s="279">
        <f t="shared" si="54"/>
        <v>54680.01484882764</v>
      </c>
      <c r="BH55" s="279">
        <f t="shared" si="54"/>
        <v>55724.83914580419</v>
      </c>
      <c r="BI55" s="279">
        <f t="shared" si="54"/>
        <v>56790.55992872027</v>
      </c>
      <c r="BJ55" s="279">
        <f t="shared" si="54"/>
        <v>57877.59512729467</v>
      </c>
      <c r="BK55" s="279">
        <f t="shared" si="54"/>
        <v>58986.37102984057</v>
      </c>
      <c r="BL55" s="264">
        <f>IF(AND('Assumptions '!$C$72=B2),('Assumptions '!C20),('Assumptions '!C20*'Assumptions '!C74))</f>
        <v>150150</v>
      </c>
      <c r="BM55" s="255">
        <f>SUM(O55:BL55)</f>
        <v>1273183.1205812818</v>
      </c>
    </row>
    <row r="56" spans="1:64" s="130" customFormat="1" ht="15">
      <c r="A56" s="245"/>
      <c r="B56" s="255"/>
      <c r="C56" s="255"/>
      <c r="D56" s="255"/>
      <c r="E56" s="255"/>
      <c r="F56" s="255"/>
      <c r="G56" s="255"/>
      <c r="H56" s="255"/>
      <c r="I56" s="255"/>
      <c r="J56" s="255"/>
      <c r="K56" s="255"/>
      <c r="L56" s="255"/>
      <c r="M56" s="255"/>
      <c r="N56" s="255"/>
      <c r="O56" s="256"/>
      <c r="P56" s="264"/>
      <c r="Q56" s="264"/>
      <c r="R56" s="264"/>
      <c r="S56" s="264"/>
      <c r="T56" s="264"/>
      <c r="U56" s="264"/>
      <c r="V56" s="264"/>
      <c r="W56" s="264"/>
      <c r="X56" s="264"/>
      <c r="Y56" s="264"/>
      <c r="Z56" s="264"/>
      <c r="AA56" s="264"/>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5"/>
    </row>
    <row r="57" spans="1:64" s="130" customFormat="1" ht="15">
      <c r="A57" s="274" t="str">
        <f>A77</f>
        <v>Equity Investor #2</v>
      </c>
      <c r="B57" s="255"/>
      <c r="C57" s="255"/>
      <c r="D57" s="255"/>
      <c r="E57" s="255"/>
      <c r="F57" s="255"/>
      <c r="G57" s="255"/>
      <c r="H57" s="255"/>
      <c r="I57" s="255"/>
      <c r="J57" s="255"/>
      <c r="K57" s="255"/>
      <c r="L57" s="255"/>
      <c r="M57" s="255"/>
      <c r="N57" s="255"/>
      <c r="O57" s="256">
        <f>IF(AND(O$2&lt;='Assumptions '!$E$75,'Pro Forma'!O$2&gt;='Assumptions '!$D$75),('Pro Forma'!O$47*'Assumptions '!$C$75),('Pro Forma'!O$47*'Assumptions '!$C$76))</f>
        <v>0</v>
      </c>
      <c r="P57" s="264"/>
      <c r="Q57" s="264"/>
      <c r="R57" s="264"/>
      <c r="S57" s="264"/>
      <c r="T57" s="264"/>
      <c r="U57" s="264"/>
      <c r="V57" s="264"/>
      <c r="W57" s="264"/>
      <c r="X57" s="264"/>
      <c r="Y57" s="264"/>
      <c r="Z57" s="264"/>
      <c r="AA57" s="264"/>
      <c r="AB57" s="256">
        <f>IF(AND(AB$2&lt;='Assumptions '!$E$75,'Pro Forma'!AB$2&gt;='Assumptions '!$D$75),('Pro Forma'!AB$47*'Assumptions '!$C$75),('Pro Forma'!AB$47*'Assumptions '!$C$76))</f>
        <v>0</v>
      </c>
      <c r="AC57" s="256"/>
      <c r="AD57" s="256"/>
      <c r="AE57" s="256"/>
      <c r="AF57" s="256"/>
      <c r="AG57" s="256"/>
      <c r="AH57" s="256"/>
      <c r="AI57" s="256"/>
      <c r="AJ57" s="256"/>
      <c r="AK57" s="256"/>
      <c r="AL57" s="256"/>
      <c r="AM57" s="256"/>
      <c r="AN57" s="256"/>
      <c r="AO57" s="256">
        <f>IF(AND(AO$2&lt;='Assumptions '!$E$75,'Pro Forma'!AO$2&gt;='Assumptions '!$D$75),('Pro Forma'!AO$47*'Assumptions '!$C$75),('Pro Forma'!AO$47*'Assumptions '!$C$76))</f>
        <v>0</v>
      </c>
      <c r="AP57" s="256">
        <f>IF(AND(AP$2&lt;='Assumptions '!$E$75,'Pro Forma'!AP$2&gt;='Assumptions '!$D$75),('Pro Forma'!AP$47*'Assumptions '!$C$75),('Pro Forma'!AP$47*'Assumptions '!$C$76))</f>
        <v>0</v>
      </c>
      <c r="AQ57" s="256">
        <f>IF(AND(AQ$2&lt;='Assumptions '!$E$75,'Pro Forma'!AQ$2&gt;='Assumptions '!$D$75),('Pro Forma'!AQ$47*'Assumptions '!$C$75),('Pro Forma'!AQ$47*'Assumptions '!$C$76))</f>
        <v>0</v>
      </c>
      <c r="AR57" s="256">
        <f>IF(AND(AR$2&lt;='Assumptions '!$E$75,'Pro Forma'!AR$2&gt;='Assumptions '!$D$75),('Pro Forma'!AR$47*'Assumptions '!$C$75),('Pro Forma'!AR$47*'Assumptions '!$C$76))</f>
        <v>0</v>
      </c>
      <c r="AS57" s="256">
        <f>IF(AND(AS$2&lt;='Assumptions '!$E$75,'Pro Forma'!AS$2&gt;='Assumptions '!$D$75),('Pro Forma'!AS$47*'Assumptions '!$C$75),('Pro Forma'!AS$47*'Assumptions '!$C$76))</f>
        <v>0</v>
      </c>
      <c r="AT57" s="256">
        <f>IF(AND(AT$2&lt;='Assumptions '!$E$75,'Pro Forma'!AT$2&gt;='Assumptions '!$D$75),('Pro Forma'!AT$47*'Assumptions '!$C$75),('Pro Forma'!AT$47*'Assumptions '!$C$76))</f>
        <v>0</v>
      </c>
      <c r="AU57" s="256">
        <f>IF(AND(AU$2&lt;='Assumptions '!$E$75,'Pro Forma'!AU$2&gt;='Assumptions '!$D$75),('Pro Forma'!AU$47*'Assumptions '!$C$75),('Pro Forma'!AU$47*'Assumptions '!$C$76))</f>
        <v>0</v>
      </c>
      <c r="AV57" s="256">
        <f>IF(AND(AV$2&lt;='Assumptions '!$E$75,'Pro Forma'!AV$2&gt;='Assumptions '!$D$75),('Pro Forma'!AV$47*'Assumptions '!$C$75),('Pro Forma'!AV$47*'Assumptions '!$C$76))</f>
        <v>0</v>
      </c>
      <c r="AW57" s="256">
        <f>IF(AND(AW$2&lt;='Assumptions '!$E$75,'Pro Forma'!AW$2&gt;='Assumptions '!$D$75),('Pro Forma'!AW$47*'Assumptions '!$C$75),('Pro Forma'!AW$47*'Assumptions '!$C$76))</f>
        <v>0</v>
      </c>
      <c r="AX57" s="256">
        <f>IF(AND(AX$2&lt;='Assumptions '!$E$75,'Pro Forma'!AX$2&gt;='Assumptions '!$D$75),('Pro Forma'!AX$47*'Assumptions '!$C$75),('Pro Forma'!AX$47*'Assumptions '!$C$76))</f>
        <v>0</v>
      </c>
      <c r="AY57" s="256">
        <f>IF(AND(AY$2&lt;='Assumptions '!$E$75,'Pro Forma'!AY$2&gt;='Assumptions '!$D$75),('Pro Forma'!AY$47*'Assumptions '!$C$75),('Pro Forma'!AY$47*'Assumptions '!$C$76))</f>
        <v>0</v>
      </c>
      <c r="AZ57" s="256">
        <f>IF(AND(AZ$2&lt;='Assumptions '!$E$75,'Pro Forma'!AZ$2&gt;='Assumptions '!$D$75),('Pro Forma'!AZ$47*'Assumptions '!$C$75),('Pro Forma'!AZ$47*'Assumptions '!$C$76))</f>
        <v>0</v>
      </c>
      <c r="BA57" s="256">
        <f>IF(AND(BA$2&lt;='Assumptions '!$E$75,'Pro Forma'!BA$2&gt;='Assumptions '!$D$75),('Pro Forma'!BA$47*'Assumptions '!$C$75),('Pro Forma'!BA$47*'Assumptions '!$C$76))</f>
        <v>0</v>
      </c>
      <c r="BB57" s="256">
        <f>IF(AND(BB$2&lt;='Assumptions '!$E$75,'Pro Forma'!BB$2&gt;='Assumptions '!$D$75),('Pro Forma'!BB$47*'Assumptions '!$C$75),('Pro Forma'!BB$47*'Assumptions '!$C$76))</f>
        <v>0</v>
      </c>
      <c r="BC57" s="256">
        <f>IF(AND(BC$2&lt;='Assumptions '!$E$75,'Pro Forma'!BC$2&gt;='Assumptions '!$D$75),('Pro Forma'!BC$47*'Assumptions '!$C$75),('Pro Forma'!BC$47*'Assumptions '!$C$76))</f>
        <v>0</v>
      </c>
      <c r="BD57" s="256">
        <f>IF(AND(BD$2&lt;='Assumptions '!$E$75,'Pro Forma'!BD$2&gt;='Assumptions '!$D$75),('Pro Forma'!BD$47*'Assumptions '!$C$75),('Pro Forma'!BD$47*'Assumptions '!$C$76))</f>
        <v>0</v>
      </c>
      <c r="BE57" s="256">
        <f>IF(AND(BE$2&lt;='Assumptions '!$E$75,'Pro Forma'!BE$2&gt;='Assumptions '!$D$75),('Pro Forma'!BE$47*'Assumptions '!$C$75),('Pro Forma'!BE$47*'Assumptions '!$C$76))</f>
        <v>0</v>
      </c>
      <c r="BF57" s="256">
        <f>IF(AND(BF$2&lt;='Assumptions '!$E$75,'Pro Forma'!BF$2&gt;='Assumptions '!$D$75),('Pro Forma'!BF$47*'Assumptions '!$C$75),('Pro Forma'!BF$47*'Assumptions '!$C$76))</f>
        <v>0</v>
      </c>
      <c r="BG57" s="256">
        <f>IF(AND(BG$2&lt;='Assumptions '!$E$75,'Pro Forma'!BG$2&gt;='Assumptions '!$D$75),('Pro Forma'!BG$47*'Assumptions '!$C$75),('Pro Forma'!BG$47*'Assumptions '!$C$76))</f>
        <v>0</v>
      </c>
      <c r="BH57" s="256">
        <f>IF(AND(BH$2&lt;='Assumptions '!$E$75,'Pro Forma'!BH$2&gt;='Assumptions '!$D$75),('Pro Forma'!BH$47*'Assumptions '!$C$75),('Pro Forma'!BH$47*'Assumptions '!$C$76))</f>
        <v>0</v>
      </c>
      <c r="BI57" s="256">
        <f>IF(AND(BI$2&lt;='Assumptions '!$E$75,'Pro Forma'!BI$2&gt;='Assumptions '!$D$75),('Pro Forma'!BI$47*'Assumptions '!$C$75),('Pro Forma'!BI$47*'Assumptions '!$C$76))</f>
        <v>0</v>
      </c>
      <c r="BJ57" s="256">
        <f>IF(AND(BJ$2&lt;='Assumptions '!$E$75,'Pro Forma'!BJ$2&gt;='Assumptions '!$D$75),('Pro Forma'!BJ$47*'Assumptions '!$C$75),('Pro Forma'!BJ$47*'Assumptions '!$C$76))</f>
        <v>0</v>
      </c>
      <c r="BK57" s="256">
        <f>IF(AND(BK$2&lt;='Assumptions '!$E$75,'Pro Forma'!BK$2&gt;='Assumptions '!$D$75),('Pro Forma'!BK$47*'Assumptions '!$C$75),('Pro Forma'!BK$47*'Assumptions '!$C$76))</f>
        <v>0</v>
      </c>
      <c r="BL57" s="255"/>
    </row>
    <row r="58" spans="1:64" s="130" customFormat="1" ht="15">
      <c r="A58" s="274" t="s">
        <v>152</v>
      </c>
      <c r="B58" s="255"/>
      <c r="C58" s="255"/>
      <c r="D58" s="255"/>
      <c r="E58" s="255"/>
      <c r="F58" s="255"/>
      <c r="G58" s="255"/>
      <c r="H58" s="255"/>
      <c r="I58" s="255"/>
      <c r="J58" s="255"/>
      <c r="K58" s="255"/>
      <c r="L58" s="255"/>
      <c r="M58" s="255"/>
      <c r="N58" s="255"/>
      <c r="O58" s="256">
        <f>-O54</f>
        <v>0</v>
      </c>
      <c r="P58" s="264"/>
      <c r="Q58" s="264"/>
      <c r="R58" s="264"/>
      <c r="S58" s="264"/>
      <c r="T58" s="264"/>
      <c r="U58" s="264"/>
      <c r="V58" s="264"/>
      <c r="W58" s="264"/>
      <c r="X58" s="264"/>
      <c r="Y58" s="264"/>
      <c r="Z58" s="264"/>
      <c r="AA58" s="264"/>
      <c r="AB58" s="256">
        <f aca="true" t="shared" si="55" ref="AB58:BF58">-AB54</f>
        <v>0</v>
      </c>
      <c r="AC58" s="256"/>
      <c r="AD58" s="256"/>
      <c r="AE58" s="256"/>
      <c r="AF58" s="256"/>
      <c r="AG58" s="256"/>
      <c r="AH58" s="256"/>
      <c r="AI58" s="256"/>
      <c r="AJ58" s="256"/>
      <c r="AK58" s="256"/>
      <c r="AL58" s="256"/>
      <c r="AM58" s="256"/>
      <c r="AN58" s="256"/>
      <c r="AO58" s="256">
        <f t="shared" si="55"/>
        <v>0</v>
      </c>
      <c r="AP58" s="256">
        <f t="shared" si="55"/>
        <v>0</v>
      </c>
      <c r="AQ58" s="256">
        <f>-AQ54</f>
        <v>0</v>
      </c>
      <c r="AR58" s="256">
        <f t="shared" si="55"/>
        <v>0</v>
      </c>
      <c r="AS58" s="256">
        <f t="shared" si="55"/>
        <v>0</v>
      </c>
      <c r="AT58" s="256">
        <f t="shared" si="55"/>
        <v>0</v>
      </c>
      <c r="AU58" s="256">
        <f t="shared" si="55"/>
        <v>0</v>
      </c>
      <c r="AV58" s="256">
        <f t="shared" si="55"/>
        <v>0</v>
      </c>
      <c r="AW58" s="256">
        <f t="shared" si="55"/>
        <v>0</v>
      </c>
      <c r="AX58" s="256">
        <f t="shared" si="55"/>
        <v>0</v>
      </c>
      <c r="AY58" s="256">
        <f t="shared" si="55"/>
        <v>0</v>
      </c>
      <c r="AZ58" s="256">
        <f t="shared" si="55"/>
        <v>0</v>
      </c>
      <c r="BA58" s="256">
        <f t="shared" si="55"/>
        <v>0</v>
      </c>
      <c r="BB58" s="256">
        <f t="shared" si="55"/>
        <v>0</v>
      </c>
      <c r="BC58" s="256">
        <f t="shared" si="55"/>
        <v>0</v>
      </c>
      <c r="BD58" s="256">
        <f t="shared" si="55"/>
        <v>0</v>
      </c>
      <c r="BE58" s="256">
        <f t="shared" si="55"/>
        <v>0</v>
      </c>
      <c r="BF58" s="256">
        <f t="shared" si="55"/>
        <v>0</v>
      </c>
      <c r="BG58" s="256">
        <f>-BG54</f>
        <v>0</v>
      </c>
      <c r="BH58" s="256">
        <f>-BH54</f>
        <v>0</v>
      </c>
      <c r="BI58" s="256">
        <f>-BI54</f>
        <v>0</v>
      </c>
      <c r="BJ58" s="256">
        <f>-BJ54</f>
        <v>0</v>
      </c>
      <c r="BK58" s="256">
        <f>-BK54</f>
        <v>0</v>
      </c>
      <c r="BL58" s="255"/>
    </row>
    <row r="59" spans="1:65" s="130" customFormat="1" ht="15.75" thickBot="1">
      <c r="A59" s="275" t="s">
        <v>146</v>
      </c>
      <c r="B59" s="261">
        <f>-SUM(O54:BF54)</f>
        <v>0</v>
      </c>
      <c r="C59" s="261"/>
      <c r="D59" s="261"/>
      <c r="E59" s="261"/>
      <c r="F59" s="261"/>
      <c r="G59" s="261"/>
      <c r="H59" s="261"/>
      <c r="I59" s="261"/>
      <c r="J59" s="261"/>
      <c r="K59" s="261"/>
      <c r="L59" s="261"/>
      <c r="M59" s="261"/>
      <c r="N59" s="261"/>
      <c r="O59" s="263">
        <f>SUM(O57:O58)</f>
        <v>0</v>
      </c>
      <c r="P59" s="268"/>
      <c r="Q59" s="268"/>
      <c r="R59" s="268"/>
      <c r="S59" s="268"/>
      <c r="T59" s="268"/>
      <c r="U59" s="268"/>
      <c r="V59" s="268"/>
      <c r="W59" s="268"/>
      <c r="X59" s="268"/>
      <c r="Y59" s="268"/>
      <c r="Z59" s="268"/>
      <c r="AA59" s="268"/>
      <c r="AB59" s="263">
        <f>SUM(AB57:AB58)</f>
        <v>0</v>
      </c>
      <c r="AC59" s="263"/>
      <c r="AD59" s="263"/>
      <c r="AE59" s="263"/>
      <c r="AF59" s="263"/>
      <c r="AG59" s="263"/>
      <c r="AH59" s="263"/>
      <c r="AI59" s="263"/>
      <c r="AJ59" s="263"/>
      <c r="AK59" s="263"/>
      <c r="AL59" s="263"/>
      <c r="AM59" s="263"/>
      <c r="AN59" s="263"/>
      <c r="AO59" s="263">
        <f>SUM(AO57:AO58)</f>
        <v>0</v>
      </c>
      <c r="AP59" s="263">
        <f aca="true" t="shared" si="56" ref="AP59:BF59">SUM(AP57:AP58)</f>
        <v>0</v>
      </c>
      <c r="AQ59" s="263">
        <f t="shared" si="56"/>
        <v>0</v>
      </c>
      <c r="AR59" s="263">
        <f t="shared" si="56"/>
        <v>0</v>
      </c>
      <c r="AS59" s="263">
        <f t="shared" si="56"/>
        <v>0</v>
      </c>
      <c r="AT59" s="263">
        <f t="shared" si="56"/>
        <v>0</v>
      </c>
      <c r="AU59" s="263">
        <f t="shared" si="56"/>
        <v>0</v>
      </c>
      <c r="AV59" s="263">
        <f t="shared" si="56"/>
        <v>0</v>
      </c>
      <c r="AW59" s="263">
        <f t="shared" si="56"/>
        <v>0</v>
      </c>
      <c r="AX59" s="263">
        <f t="shared" si="56"/>
        <v>0</v>
      </c>
      <c r="AY59" s="263">
        <f t="shared" si="56"/>
        <v>0</v>
      </c>
      <c r="AZ59" s="263">
        <f t="shared" si="56"/>
        <v>0</v>
      </c>
      <c r="BA59" s="263">
        <f t="shared" si="56"/>
        <v>0</v>
      </c>
      <c r="BB59" s="263">
        <f t="shared" si="56"/>
        <v>0</v>
      </c>
      <c r="BC59" s="263">
        <f t="shared" si="56"/>
        <v>0</v>
      </c>
      <c r="BD59" s="263">
        <f t="shared" si="56"/>
        <v>0</v>
      </c>
      <c r="BE59" s="263">
        <f t="shared" si="56"/>
        <v>0</v>
      </c>
      <c r="BF59" s="263">
        <f t="shared" si="56"/>
        <v>0</v>
      </c>
      <c r="BG59" s="263">
        <f>SUM(BG57:BG58)</f>
        <v>0</v>
      </c>
      <c r="BH59" s="263">
        <f>SUM(BH57:BH58)</f>
        <v>0</v>
      </c>
      <c r="BI59" s="263">
        <f>SUM(BI57:BI58)</f>
        <v>0</v>
      </c>
      <c r="BJ59" s="263">
        <f>SUM(BJ57:BJ58)</f>
        <v>0</v>
      </c>
      <c r="BK59" s="263">
        <f>SUM(BK57:BK58)</f>
        <v>0</v>
      </c>
      <c r="BL59" s="264">
        <f>IF(AND('Assumptions '!$C$72=B2),(B2),('Assumptions '!C20*'Assumptions '!C76))</f>
        <v>0</v>
      </c>
      <c r="BM59" s="255">
        <f>SUM(O59:BL59)</f>
        <v>0</v>
      </c>
    </row>
    <row r="60" spans="1:63" s="130" customFormat="1" ht="15.75" thickTop="1">
      <c r="A60" s="284"/>
      <c r="B60" s="258"/>
      <c r="C60" s="258"/>
      <c r="D60" s="258"/>
      <c r="E60" s="258"/>
      <c r="F60" s="258"/>
      <c r="G60" s="258"/>
      <c r="H60" s="258"/>
      <c r="I60" s="258"/>
      <c r="J60" s="258"/>
      <c r="K60" s="258"/>
      <c r="L60" s="258"/>
      <c r="M60" s="258"/>
      <c r="N60" s="258"/>
      <c r="O60" s="285"/>
      <c r="P60" s="286"/>
      <c r="Q60" s="286"/>
      <c r="R60" s="286"/>
      <c r="S60" s="286"/>
      <c r="T60" s="286"/>
      <c r="U60" s="286"/>
      <c r="V60" s="286"/>
      <c r="W60" s="286"/>
      <c r="X60" s="286"/>
      <c r="Y60" s="286"/>
      <c r="Z60" s="286"/>
      <c r="AA60" s="286"/>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row>
    <row r="61" spans="1:63" s="130" customFormat="1" ht="15">
      <c r="A61" s="198" t="s">
        <v>98</v>
      </c>
      <c r="B61" s="141"/>
      <c r="C61" s="141"/>
      <c r="D61" s="141"/>
      <c r="E61" s="141"/>
      <c r="F61" s="141"/>
      <c r="G61" s="141"/>
      <c r="H61" s="141"/>
      <c r="I61" s="141"/>
      <c r="J61" s="141"/>
      <c r="K61" s="141"/>
      <c r="L61" s="141"/>
      <c r="M61" s="141"/>
      <c r="N61" s="141"/>
      <c r="O61" s="142"/>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row>
    <row r="62" spans="1:63" s="152" customFormat="1" ht="15">
      <c r="A62" s="152" t="s">
        <v>97</v>
      </c>
      <c r="O62" s="311">
        <f aca="true" t="shared" si="57" ref="O62:BF62">IF(O30=0,0,((O28/(O30+O44))))</f>
        <v>0</v>
      </c>
      <c r="P62" s="311">
        <f t="shared" si="57"/>
        <v>0</v>
      </c>
      <c r="Q62" s="311">
        <f t="shared" si="57"/>
        <v>0</v>
      </c>
      <c r="R62" s="311">
        <f t="shared" si="57"/>
        <v>0</v>
      </c>
      <c r="S62" s="311">
        <f t="shared" si="57"/>
        <v>0</v>
      </c>
      <c r="T62" s="311">
        <f t="shared" si="57"/>
        <v>0</v>
      </c>
      <c r="U62" s="311">
        <f t="shared" si="57"/>
        <v>0</v>
      </c>
      <c r="V62" s="311">
        <f t="shared" si="57"/>
        <v>0</v>
      </c>
      <c r="W62" s="311">
        <f t="shared" si="57"/>
        <v>0</v>
      </c>
      <c r="X62" s="311">
        <f t="shared" si="57"/>
        <v>0</v>
      </c>
      <c r="Y62" s="311">
        <f t="shared" si="57"/>
        <v>0</v>
      </c>
      <c r="Z62" s="311">
        <f t="shared" si="57"/>
        <v>0</v>
      </c>
      <c r="AA62" s="311">
        <f t="shared" si="57"/>
        <v>0</v>
      </c>
      <c r="AB62" s="311">
        <f t="shared" si="57"/>
        <v>0</v>
      </c>
      <c r="AC62" s="311">
        <f t="shared" si="57"/>
        <v>0</v>
      </c>
      <c r="AD62" s="311">
        <f t="shared" si="57"/>
        <v>0</v>
      </c>
      <c r="AE62" s="311">
        <f t="shared" si="57"/>
        <v>0</v>
      </c>
      <c r="AF62" s="311">
        <f t="shared" si="57"/>
        <v>0</v>
      </c>
      <c r="AG62" s="311">
        <f t="shared" si="57"/>
        <v>0</v>
      </c>
      <c r="AH62" s="311">
        <f t="shared" si="57"/>
        <v>0</v>
      </c>
      <c r="AI62" s="311">
        <f t="shared" si="57"/>
        <v>0</v>
      </c>
      <c r="AJ62" s="311">
        <f t="shared" si="57"/>
        <v>0</v>
      </c>
      <c r="AK62" s="311">
        <f t="shared" si="57"/>
        <v>0</v>
      </c>
      <c r="AL62" s="311">
        <f t="shared" si="57"/>
        <v>0</v>
      </c>
      <c r="AM62" s="311">
        <f t="shared" si="57"/>
        <v>0</v>
      </c>
      <c r="AN62" s="311">
        <f t="shared" si="57"/>
        <v>0</v>
      </c>
      <c r="AO62" s="311">
        <f t="shared" si="57"/>
        <v>0</v>
      </c>
      <c r="AP62" s="311">
        <f t="shared" si="57"/>
        <v>0</v>
      </c>
      <c r="AQ62" s="311">
        <f t="shared" si="57"/>
        <v>0</v>
      </c>
      <c r="AR62" s="311">
        <f t="shared" si="57"/>
        <v>0</v>
      </c>
      <c r="AS62" s="311">
        <f t="shared" si="57"/>
        <v>0</v>
      </c>
      <c r="AT62" s="311">
        <f t="shared" si="57"/>
        <v>0</v>
      </c>
      <c r="AU62" s="311">
        <f t="shared" si="57"/>
        <v>0</v>
      </c>
      <c r="AV62" s="311">
        <f t="shared" si="57"/>
        <v>0</v>
      </c>
      <c r="AW62" s="311">
        <f t="shared" si="57"/>
        <v>0</v>
      </c>
      <c r="AX62" s="311">
        <f t="shared" si="57"/>
        <v>0</v>
      </c>
      <c r="AY62" s="311">
        <f t="shared" si="57"/>
        <v>0</v>
      </c>
      <c r="AZ62" s="311">
        <f t="shared" si="57"/>
        <v>0</v>
      </c>
      <c r="BA62" s="311">
        <f t="shared" si="57"/>
        <v>0</v>
      </c>
      <c r="BB62" s="311">
        <f t="shared" si="57"/>
        <v>0</v>
      </c>
      <c r="BC62" s="311">
        <f t="shared" si="57"/>
        <v>0</v>
      </c>
      <c r="BD62" s="311">
        <f t="shared" si="57"/>
        <v>0</v>
      </c>
      <c r="BE62" s="311">
        <f t="shared" si="57"/>
        <v>0</v>
      </c>
      <c r="BF62" s="311">
        <f t="shared" si="57"/>
        <v>0</v>
      </c>
      <c r="BG62" s="311">
        <f>IF(BG30=0,0,((BG28/(BG30+BG44))))</f>
        <v>0</v>
      </c>
      <c r="BH62" s="311">
        <f>IF(BH30=0,0,((BH28/(BH30+BH44))))</f>
        <v>0</v>
      </c>
      <c r="BI62" s="311">
        <f>IF(BI30=0,0,((BI28/(BI30+BI44))))</f>
        <v>0</v>
      </c>
      <c r="BJ62" s="311">
        <f>IF(BJ30=0,0,((BJ28/(BJ30+BJ44))))</f>
        <v>0</v>
      </c>
      <c r="BK62" s="311">
        <f>IF(BK30=0,0,((BK28/(BK30+BK44))))</f>
        <v>0</v>
      </c>
    </row>
    <row r="63" s="130" customFormat="1" ht="15">
      <c r="O63" s="137"/>
    </row>
    <row r="64" spans="1:15" s="130" customFormat="1" ht="15.75">
      <c r="A64" s="156" t="s">
        <v>80</v>
      </c>
      <c r="B64" s="175"/>
      <c r="O64" s="137"/>
    </row>
    <row r="65" spans="1:15" s="130" customFormat="1" ht="15.75">
      <c r="A65" s="211"/>
      <c r="B65" s="300"/>
      <c r="O65" s="137"/>
    </row>
    <row r="66" spans="1:15" s="130" customFormat="1" ht="15.75">
      <c r="A66" s="211" t="s">
        <v>164</v>
      </c>
      <c r="B66" s="300"/>
      <c r="O66" s="137"/>
    </row>
    <row r="67" spans="1:15" s="130" customFormat="1" ht="15.75">
      <c r="A67" s="301" t="s">
        <v>165</v>
      </c>
      <c r="B67" s="300">
        <f>IRR(B50:BL50)</f>
        <v>0.08220488841239604</v>
      </c>
      <c r="O67" s="137"/>
    </row>
    <row r="68" spans="1:15" s="130" customFormat="1" ht="15.75">
      <c r="A68" s="301" t="s">
        <v>6</v>
      </c>
      <c r="B68" s="300">
        <f>(B50+BM50)/-B50</f>
        <v>1.7982046606182018</v>
      </c>
      <c r="O68" s="137"/>
    </row>
    <row r="69" spans="1:15" s="130" customFormat="1" ht="15.75">
      <c r="A69" s="301" t="s">
        <v>166</v>
      </c>
      <c r="B69" s="356">
        <f>NPV('Assumptions '!C81,'Pro Forma'!O50:BL50)-'Pro Forma'!B50</f>
        <v>920012.4846950994</v>
      </c>
      <c r="O69" s="137"/>
    </row>
    <row r="70" spans="1:15" s="130" customFormat="1" ht="15.75">
      <c r="A70" s="211"/>
      <c r="B70" s="300"/>
      <c r="O70" s="137"/>
    </row>
    <row r="71" spans="1:15" s="130" customFormat="1" ht="15.75">
      <c r="A71" s="211"/>
      <c r="B71" s="300"/>
      <c r="O71" s="137"/>
    </row>
    <row r="72" spans="1:41" s="130" customFormat="1" ht="15.75">
      <c r="A72" s="211" t="s">
        <v>109</v>
      </c>
      <c r="B72" s="199"/>
      <c r="O72" s="137"/>
      <c r="AB72" s="212"/>
      <c r="AO72" s="255"/>
    </row>
    <row r="73" spans="1:28" s="130" customFormat="1" ht="15.75">
      <c r="A73" s="154" t="s">
        <v>81</v>
      </c>
      <c r="B73" s="199">
        <f>IRR(B55:BL55)</f>
        <v>0.08220488841239604</v>
      </c>
      <c r="O73" s="137"/>
      <c r="AB73" s="154"/>
    </row>
    <row r="74" spans="1:28" s="130" customFormat="1" ht="15.75">
      <c r="A74" s="154" t="s">
        <v>6</v>
      </c>
      <c r="B74" s="152">
        <f>(BM55+B55)/-B55</f>
        <v>1.7982046606182018</v>
      </c>
      <c r="O74" s="137"/>
      <c r="AB74" s="154"/>
    </row>
    <row r="75" spans="1:28" s="130" customFormat="1" ht="15.75">
      <c r="A75" s="155" t="s">
        <v>82</v>
      </c>
      <c r="B75" s="355">
        <f>NPV('Assumptions '!C60,'Pro Forma'!O55:BL55)-'Pro Forma'!B55</f>
        <v>920012.4846950994</v>
      </c>
      <c r="O75" s="137"/>
      <c r="AB75" s="155"/>
    </row>
    <row r="76" spans="1:28" s="130" customFormat="1" ht="15.75">
      <c r="A76" s="155"/>
      <c r="B76" s="132"/>
      <c r="O76" s="137"/>
      <c r="AB76" s="155"/>
    </row>
    <row r="77" spans="1:28" s="130" customFormat="1" ht="15.75">
      <c r="A77" s="212" t="s">
        <v>110</v>
      </c>
      <c r="B77" s="132"/>
      <c r="O77" s="137"/>
      <c r="AB77" s="155"/>
    </row>
    <row r="78" spans="1:28" s="130" customFormat="1" ht="15.75">
      <c r="A78" s="154" t="s">
        <v>81</v>
      </c>
      <c r="B78" s="199" t="e">
        <f>IRR(O59:BL59)</f>
        <v>#NUM!</v>
      </c>
      <c r="O78" s="137"/>
      <c r="AB78" s="155"/>
    </row>
    <row r="79" spans="1:28" s="130" customFormat="1" ht="15.75">
      <c r="A79" s="154" t="s">
        <v>6</v>
      </c>
      <c r="B79" s="376" t="e">
        <f>(BM59+B59)/-B59</f>
        <v>#DIV/0!</v>
      </c>
      <c r="O79" s="137"/>
      <c r="AB79" s="155"/>
    </row>
    <row r="80" spans="1:28" s="130" customFormat="1" ht="15.75">
      <c r="A80" s="155" t="s">
        <v>82</v>
      </c>
      <c r="B80" s="255">
        <f>NPV('Assumptions '!C66,'Pro Forma'!O59:BK59)-'Pro Forma'!B59</f>
        <v>0</v>
      </c>
      <c r="O80" s="137"/>
      <c r="AB80" s="155"/>
    </row>
    <row r="81" spans="1:15" s="130" customFormat="1" ht="15.75">
      <c r="A81" s="153"/>
      <c r="O81" s="137"/>
    </row>
    <row r="82" s="130" customFormat="1" ht="15">
      <c r="O82" s="137"/>
    </row>
    <row r="83" s="130" customFormat="1" ht="15">
      <c r="O83" s="137"/>
    </row>
    <row r="84" s="130" customFormat="1" ht="15">
      <c r="O84" s="137"/>
    </row>
    <row r="85" s="130" customFormat="1" ht="15">
      <c r="O85" s="137"/>
    </row>
    <row r="86" s="130" customFormat="1" ht="15">
      <c r="O86" s="137"/>
    </row>
    <row r="87" s="130" customFormat="1" ht="15">
      <c r="O87" s="137"/>
    </row>
    <row r="88" s="130" customFormat="1" ht="15">
      <c r="O88" s="137"/>
    </row>
    <row r="89" s="130" customFormat="1" ht="15">
      <c r="O89" s="137"/>
    </row>
    <row r="90" s="130" customFormat="1" ht="15">
      <c r="O90" s="137"/>
    </row>
    <row r="91" s="130" customFormat="1" ht="15">
      <c r="O91" s="137"/>
    </row>
    <row r="92" s="130" customFormat="1" ht="15">
      <c r="O92" s="137"/>
    </row>
    <row r="93" s="130" customFormat="1" ht="15">
      <c r="O93" s="137"/>
    </row>
    <row r="94" s="130" customFormat="1" ht="15">
      <c r="O94" s="137"/>
    </row>
    <row r="95" s="130" customFormat="1" ht="15">
      <c r="O95" s="137"/>
    </row>
    <row r="96" s="130" customFormat="1" ht="15">
      <c r="O96" s="137"/>
    </row>
    <row r="97" s="130" customFormat="1" ht="15">
      <c r="O97" s="137"/>
    </row>
    <row r="98" s="130" customFormat="1" ht="15">
      <c r="O98" s="137"/>
    </row>
    <row r="99" s="130" customFormat="1" ht="15">
      <c r="O99" s="137"/>
    </row>
    <row r="100" s="130" customFormat="1" ht="15">
      <c r="O100" s="137"/>
    </row>
    <row r="101" s="130" customFormat="1" ht="15">
      <c r="O101" s="137"/>
    </row>
    <row r="102" s="130" customFormat="1" ht="15">
      <c r="O102" s="137"/>
    </row>
    <row r="103" s="130" customFormat="1" ht="15">
      <c r="O103" s="137"/>
    </row>
    <row r="104" s="130" customFormat="1" ht="15">
      <c r="O104" s="137"/>
    </row>
    <row r="105" s="130" customFormat="1" ht="15">
      <c r="O105" s="137"/>
    </row>
    <row r="106" s="130" customFormat="1" ht="15">
      <c r="O106" s="137"/>
    </row>
    <row r="107" s="130" customFormat="1" ht="15">
      <c r="O107" s="137"/>
    </row>
    <row r="108" s="130" customFormat="1" ht="15">
      <c r="O108" s="137"/>
    </row>
    <row r="109" s="130" customFormat="1" ht="15">
      <c r="O109" s="137"/>
    </row>
    <row r="110" s="130" customFormat="1" ht="15">
      <c r="O110" s="137"/>
    </row>
    <row r="111" s="130" customFormat="1" ht="15">
      <c r="O111" s="137"/>
    </row>
    <row r="112" s="130" customFormat="1" ht="15">
      <c r="O112" s="137"/>
    </row>
    <row r="113" s="130" customFormat="1" ht="15">
      <c r="O113" s="137"/>
    </row>
    <row r="114" s="130" customFormat="1" ht="15">
      <c r="O114" s="137"/>
    </row>
    <row r="115" s="130" customFormat="1" ht="15">
      <c r="O115" s="137"/>
    </row>
    <row r="116" s="130" customFormat="1" ht="15">
      <c r="O116" s="137"/>
    </row>
    <row r="117" s="130" customFormat="1" ht="15">
      <c r="O117" s="137"/>
    </row>
    <row r="118" s="130" customFormat="1" ht="15">
      <c r="O118" s="137"/>
    </row>
    <row r="119" s="130" customFormat="1" ht="15">
      <c r="O119" s="137"/>
    </row>
    <row r="120" s="130" customFormat="1" ht="15">
      <c r="O120" s="137"/>
    </row>
    <row r="121" s="130" customFormat="1" ht="15">
      <c r="O121" s="137"/>
    </row>
    <row r="122" s="130" customFormat="1" ht="15">
      <c r="O122" s="137"/>
    </row>
    <row r="123" s="130" customFormat="1" ht="15">
      <c r="O123" s="137"/>
    </row>
    <row r="124" s="130" customFormat="1" ht="15">
      <c r="O124" s="137"/>
    </row>
    <row r="125" s="130" customFormat="1" ht="15">
      <c r="O125" s="137"/>
    </row>
    <row r="126" s="130" customFormat="1" ht="15">
      <c r="O126" s="137"/>
    </row>
    <row r="127" s="130" customFormat="1" ht="15">
      <c r="O127" s="137"/>
    </row>
    <row r="128" s="130" customFormat="1" ht="15">
      <c r="O128" s="137"/>
    </row>
    <row r="129" s="130" customFormat="1" ht="15">
      <c r="O129" s="137"/>
    </row>
    <row r="130" s="130" customFormat="1" ht="15">
      <c r="O130" s="137"/>
    </row>
    <row r="131" s="130" customFormat="1" ht="15">
      <c r="O131" s="137"/>
    </row>
    <row r="132" s="130" customFormat="1" ht="15">
      <c r="O132" s="137"/>
    </row>
    <row r="133" s="130" customFormat="1" ht="15">
      <c r="O133" s="137"/>
    </row>
    <row r="134" s="130" customFormat="1" ht="15">
      <c r="O134" s="137"/>
    </row>
    <row r="135" s="130" customFormat="1" ht="15">
      <c r="O135" s="137"/>
    </row>
    <row r="136" s="130" customFormat="1" ht="15">
      <c r="O136" s="137"/>
    </row>
    <row r="137" s="130" customFormat="1" ht="15">
      <c r="O137" s="137"/>
    </row>
    <row r="138" s="130" customFormat="1" ht="15">
      <c r="O138" s="137"/>
    </row>
    <row r="139" s="130" customFormat="1" ht="15">
      <c r="O139" s="137"/>
    </row>
    <row r="140" s="130" customFormat="1" ht="15">
      <c r="O140" s="137"/>
    </row>
  </sheetData>
  <sheetProtection/>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7:AA48"/>
  <sheetViews>
    <sheetView zoomScalePageLayoutView="0" workbookViewId="0" topLeftCell="A14">
      <selection activeCell="B44" sqref="B44"/>
    </sheetView>
  </sheetViews>
  <sheetFormatPr defaultColWidth="11.421875" defaultRowHeight="15"/>
  <cols>
    <col min="1" max="1" width="36.421875" style="0" bestFit="1" customWidth="1"/>
    <col min="2" max="21" width="11.7109375" style="0" bestFit="1" customWidth="1"/>
    <col min="22" max="22" width="14.140625" style="0" customWidth="1"/>
  </cols>
  <sheetData>
    <row r="6" ht="15.75" thickBot="1"/>
    <row r="7" spans="1:27" ht="20.25">
      <c r="A7" s="82" t="s">
        <v>48</v>
      </c>
      <c r="B7" s="92"/>
      <c r="C7" s="92"/>
      <c r="D7" s="92"/>
      <c r="E7" s="92"/>
      <c r="F7" s="92"/>
      <c r="G7" s="92"/>
      <c r="H7" s="92"/>
      <c r="I7" s="92"/>
      <c r="J7" s="92"/>
      <c r="K7" s="92"/>
      <c r="L7" s="92"/>
      <c r="M7" s="92"/>
      <c r="N7" s="92"/>
      <c r="O7" s="92"/>
      <c r="P7" s="92"/>
      <c r="Q7" s="92"/>
      <c r="R7" s="92"/>
      <c r="S7" s="92"/>
      <c r="T7" s="92"/>
      <c r="U7" s="92"/>
      <c r="V7" s="92"/>
      <c r="W7" s="92"/>
      <c r="X7" s="92"/>
      <c r="Y7" s="92"/>
      <c r="Z7" s="92"/>
      <c r="AA7" s="93"/>
    </row>
    <row r="8" spans="1:27" ht="15">
      <c r="A8" s="83"/>
      <c r="B8" s="94"/>
      <c r="C8" s="94"/>
      <c r="D8" s="94"/>
      <c r="E8" s="94"/>
      <c r="F8" s="94"/>
      <c r="G8" s="94"/>
      <c r="H8" s="94"/>
      <c r="I8" s="94"/>
      <c r="J8" s="94"/>
      <c r="K8" s="94"/>
      <c r="L8" s="94"/>
      <c r="M8" s="94"/>
      <c r="N8" s="94"/>
      <c r="O8" s="94"/>
      <c r="P8" s="94"/>
      <c r="Q8" s="94"/>
      <c r="R8" s="94"/>
      <c r="S8" s="94"/>
      <c r="T8" s="94"/>
      <c r="U8" s="94"/>
      <c r="V8" s="94"/>
      <c r="W8" s="94"/>
      <c r="X8" s="94"/>
      <c r="Y8" s="94"/>
      <c r="Z8" s="94"/>
      <c r="AA8" s="95"/>
    </row>
    <row r="9" spans="1:27" s="343" customFormat="1" ht="15">
      <c r="A9" s="340" t="s">
        <v>49</v>
      </c>
      <c r="B9" s="345">
        <f>'Assumptions '!D38</f>
        <v>455000</v>
      </c>
      <c r="C9" s="341"/>
      <c r="D9" s="341"/>
      <c r="E9" s="341"/>
      <c r="F9" s="341"/>
      <c r="G9" s="341"/>
      <c r="H9" s="341"/>
      <c r="I9" s="341"/>
      <c r="J9" s="341"/>
      <c r="K9" s="341"/>
      <c r="L9" s="341"/>
      <c r="M9" s="341"/>
      <c r="N9" s="341"/>
      <c r="O9" s="341"/>
      <c r="P9" s="341"/>
      <c r="Q9" s="341"/>
      <c r="R9" s="341"/>
      <c r="S9" s="341"/>
      <c r="T9" s="341"/>
      <c r="U9" s="341"/>
      <c r="V9" s="341"/>
      <c r="W9" s="341"/>
      <c r="X9" s="341"/>
      <c r="Y9" s="341"/>
      <c r="Z9" s="341"/>
      <c r="AA9" s="342"/>
    </row>
    <row r="10" spans="1:27" ht="15">
      <c r="A10" s="371" t="s">
        <v>103</v>
      </c>
      <c r="B10" s="373">
        <f>D10-C10+1</f>
        <v>25</v>
      </c>
      <c r="C10" s="372">
        <v>1</v>
      </c>
      <c r="D10" s="136">
        <v>25</v>
      </c>
      <c r="E10" s="94"/>
      <c r="F10" s="94"/>
      <c r="G10" s="94"/>
      <c r="H10" s="94"/>
      <c r="I10" s="94"/>
      <c r="J10" s="94"/>
      <c r="K10" s="94"/>
      <c r="L10" s="94"/>
      <c r="M10" s="94"/>
      <c r="N10" s="94"/>
      <c r="O10" s="94"/>
      <c r="P10" s="94"/>
      <c r="Q10" s="94"/>
      <c r="R10" s="94"/>
      <c r="S10" s="94"/>
      <c r="T10" s="94"/>
      <c r="U10" s="94"/>
      <c r="V10" s="94"/>
      <c r="W10" s="94"/>
      <c r="X10" s="94"/>
      <c r="Y10" s="94"/>
      <c r="Z10" s="94"/>
      <c r="AA10" s="95"/>
    </row>
    <row r="11" spans="1:27" ht="15">
      <c r="A11" s="371" t="s">
        <v>128</v>
      </c>
      <c r="B11" s="230">
        <f>'Assumptions '!C19</f>
        <v>0.33</v>
      </c>
      <c r="C11" s="189"/>
      <c r="D11" s="189"/>
      <c r="E11" s="94"/>
      <c r="F11" s="94"/>
      <c r="G11" s="94"/>
      <c r="H11" s="94"/>
      <c r="I11" s="94"/>
      <c r="J11" s="94"/>
      <c r="K11" s="94"/>
      <c r="L11" s="94"/>
      <c r="M11" s="94"/>
      <c r="N11" s="94"/>
      <c r="O11" s="94"/>
      <c r="P11" s="94"/>
      <c r="Q11" s="94"/>
      <c r="R11" s="94"/>
      <c r="S11" s="94"/>
      <c r="T11" s="94"/>
      <c r="U11" s="94"/>
      <c r="V11" s="94"/>
      <c r="W11" s="94"/>
      <c r="X11" s="94"/>
      <c r="Y11" s="94"/>
      <c r="Z11" s="94"/>
      <c r="AA11" s="95"/>
    </row>
    <row r="12" spans="1:27" s="91" customFormat="1" ht="16.5" customHeight="1">
      <c r="A12" s="85" t="s">
        <v>50</v>
      </c>
      <c r="B12" s="88">
        <v>1</v>
      </c>
      <c r="C12" s="88">
        <v>2</v>
      </c>
      <c r="D12" s="88">
        <v>3</v>
      </c>
      <c r="E12" s="88">
        <v>4</v>
      </c>
      <c r="F12" s="88">
        <v>5</v>
      </c>
      <c r="G12" s="88">
        <v>6</v>
      </c>
      <c r="H12" s="88">
        <v>7</v>
      </c>
      <c r="I12" s="88">
        <v>8</v>
      </c>
      <c r="J12" s="88">
        <v>9</v>
      </c>
      <c r="K12" s="88">
        <v>10</v>
      </c>
      <c r="L12" s="89">
        <v>11</v>
      </c>
      <c r="M12" s="89">
        <v>12</v>
      </c>
      <c r="N12" s="89">
        <v>13</v>
      </c>
      <c r="O12" s="89">
        <v>14</v>
      </c>
      <c r="P12" s="89">
        <v>15</v>
      </c>
      <c r="Q12" s="88">
        <v>16</v>
      </c>
      <c r="R12" s="88">
        <v>17</v>
      </c>
      <c r="S12" s="88">
        <v>18</v>
      </c>
      <c r="T12" s="88">
        <v>19</v>
      </c>
      <c r="U12" s="88">
        <v>20</v>
      </c>
      <c r="V12" s="88">
        <v>21</v>
      </c>
      <c r="W12" s="88">
        <v>22</v>
      </c>
      <c r="X12" s="88">
        <v>23</v>
      </c>
      <c r="Y12" s="88">
        <v>24</v>
      </c>
      <c r="Z12" s="88">
        <v>25</v>
      </c>
      <c r="AA12" s="90" t="s">
        <v>4</v>
      </c>
    </row>
    <row r="13" spans="1:27" s="343" customFormat="1" ht="15">
      <c r="A13" s="340" t="s">
        <v>51</v>
      </c>
      <c r="B13" s="345">
        <f>IF(AND(B12&lt;='Calculation Appendix'!$D$10,'Calculation Appendix'!B12&gt;='Calculation Appendix'!$C$10),'Calculation Appendix'!$B$9,0)</f>
        <v>455000</v>
      </c>
      <c r="C13" s="345">
        <f>IF(AND(C12&lt;='Calculation Appendix'!$D$10,'Calculation Appendix'!C12&gt;='Calculation Appendix'!$C$10),'Calculation Appendix'!$B$9,0)</f>
        <v>455000</v>
      </c>
      <c r="D13" s="345">
        <f>IF(AND(D12&lt;='Calculation Appendix'!$D$10,'Calculation Appendix'!D12&gt;='Calculation Appendix'!$C$10),'Calculation Appendix'!$B$9,0)</f>
        <v>455000</v>
      </c>
      <c r="E13" s="345">
        <f>IF(AND(E12&lt;='Calculation Appendix'!$D$10,'Calculation Appendix'!E12&gt;='Calculation Appendix'!$C$10),'Calculation Appendix'!$B$9,0)</f>
        <v>455000</v>
      </c>
      <c r="F13" s="345">
        <f>IF(AND(F12&lt;='Calculation Appendix'!$D$10,'Calculation Appendix'!F12&gt;='Calculation Appendix'!$C$10),'Calculation Appendix'!$B$9,0)</f>
        <v>455000</v>
      </c>
      <c r="G13" s="345">
        <f>IF(AND(G12&lt;='Calculation Appendix'!$D$10,'Calculation Appendix'!G12&gt;='Calculation Appendix'!$C$10),'Calculation Appendix'!$B$9,0)</f>
        <v>455000</v>
      </c>
      <c r="H13" s="345">
        <f>IF(AND(H12&lt;='Calculation Appendix'!$D$10,'Calculation Appendix'!H12&gt;='Calculation Appendix'!$C$10),'Calculation Appendix'!$B$9,0)</f>
        <v>455000</v>
      </c>
      <c r="I13" s="345">
        <f>IF(AND(I12&lt;='Calculation Appendix'!$D$10,'Calculation Appendix'!I12&gt;='Calculation Appendix'!$C$10),'Calculation Appendix'!$B$9,0)</f>
        <v>455000</v>
      </c>
      <c r="J13" s="345">
        <f>IF(AND(J12&lt;='Calculation Appendix'!$D$10,'Calculation Appendix'!J12&gt;='Calculation Appendix'!$C$10),'Calculation Appendix'!$B$9,0)</f>
        <v>455000</v>
      </c>
      <c r="K13" s="345">
        <f>IF(AND(K12&lt;='Calculation Appendix'!$D$10,'Calculation Appendix'!K12&gt;='Calculation Appendix'!$C$10),'Calculation Appendix'!$B$9,0)</f>
        <v>455000</v>
      </c>
      <c r="L13" s="345">
        <f>IF(AND(L12&lt;='Calculation Appendix'!$D$10,'Calculation Appendix'!L12&gt;='Calculation Appendix'!$C$10),'Calculation Appendix'!$B$9,0)</f>
        <v>455000</v>
      </c>
      <c r="M13" s="345">
        <f>IF(AND(M12&lt;='Calculation Appendix'!$D$10,'Calculation Appendix'!M12&gt;='Calculation Appendix'!$C$10),'Calculation Appendix'!$B$9,0)</f>
        <v>455000</v>
      </c>
      <c r="N13" s="345">
        <f>IF(AND(N12&lt;='Calculation Appendix'!$D$10,'Calculation Appendix'!N12&gt;='Calculation Appendix'!$C$10),'Calculation Appendix'!$B$9,0)</f>
        <v>455000</v>
      </c>
      <c r="O13" s="345">
        <f>IF(AND(O12&lt;='Calculation Appendix'!$D$10,'Calculation Appendix'!O12&gt;='Calculation Appendix'!$C$10),'Calculation Appendix'!$B$9,0)</f>
        <v>455000</v>
      </c>
      <c r="P13" s="345">
        <f>IF(AND(P12&lt;='Calculation Appendix'!$D$10,'Calculation Appendix'!P12&gt;='Calculation Appendix'!$C$10),'Calculation Appendix'!$B$9,0)</f>
        <v>455000</v>
      </c>
      <c r="Q13" s="345">
        <f>IF(AND(Q12&lt;='Calculation Appendix'!$D$10,'Calculation Appendix'!Q12&gt;='Calculation Appendix'!$C$10),'Calculation Appendix'!$B$9,0)</f>
        <v>455000</v>
      </c>
      <c r="R13" s="345">
        <f>IF(AND(R12&lt;='Calculation Appendix'!$D$10,'Calculation Appendix'!R12&gt;='Calculation Appendix'!$C$10),'Calculation Appendix'!$B$9,0)</f>
        <v>455000</v>
      </c>
      <c r="S13" s="345">
        <f>IF(AND(S12&lt;='Calculation Appendix'!$D$10,'Calculation Appendix'!S12&gt;='Calculation Appendix'!$C$10),'Calculation Appendix'!$B$9,0)</f>
        <v>455000</v>
      </c>
      <c r="T13" s="345">
        <f>IF(AND(T12&lt;='Calculation Appendix'!$D$10,'Calculation Appendix'!T12&gt;='Calculation Appendix'!$C$10),'Calculation Appendix'!$B$9,0)</f>
        <v>455000</v>
      </c>
      <c r="U13" s="345">
        <f>IF(AND(U12&lt;='Calculation Appendix'!$D$10,'Calculation Appendix'!U12&gt;='Calculation Appendix'!$C$10),'Calculation Appendix'!$B$9,0)</f>
        <v>455000</v>
      </c>
      <c r="V13" s="345">
        <f>IF(AND(V12&lt;='Calculation Appendix'!$D$10,'Calculation Appendix'!V12&gt;='Calculation Appendix'!$C$10),'Calculation Appendix'!$B$9,0)</f>
        <v>455000</v>
      </c>
      <c r="W13" s="345">
        <f>IF(AND(W12&lt;='Calculation Appendix'!$D$10,'Calculation Appendix'!W12&gt;='Calculation Appendix'!$C$10),'Calculation Appendix'!$B$9,0)</f>
        <v>455000</v>
      </c>
      <c r="X13" s="345">
        <f>IF(AND(X12&lt;='Calculation Appendix'!$D$10,'Calculation Appendix'!X12&gt;='Calculation Appendix'!$C$10),'Calculation Appendix'!$B$9,0)</f>
        <v>455000</v>
      </c>
      <c r="Y13" s="345">
        <f>IF(AND(Y12&lt;='Calculation Appendix'!$D$10,'Calculation Appendix'!Y12&gt;='Calculation Appendix'!$C$10),'Calculation Appendix'!$B$9,0)</f>
        <v>455000</v>
      </c>
      <c r="Z13" s="345">
        <f>IF(AND(Z12&lt;='Calculation Appendix'!$D$10,'Calculation Appendix'!Z12&gt;='Calculation Appendix'!$C$10),'Calculation Appendix'!$B$9,0)</f>
        <v>455000</v>
      </c>
      <c r="AA13" s="346">
        <f>B9</f>
        <v>455000</v>
      </c>
    </row>
    <row r="14" spans="1:27" s="343" customFormat="1" ht="15">
      <c r="A14" s="340" t="s">
        <v>52</v>
      </c>
      <c r="B14" s="345">
        <f>IF(AND(B$12&lt;='Calculation Appendix'!$D$10,'Calculation Appendix'!B$12&gt;='Calculation Appendix'!$C$10),(('Calculation Appendix'!B$13-(B$13*$B$11))/('Calculation Appendix'!$B$10)),0)</f>
        <v>12194</v>
      </c>
      <c r="C14" s="345">
        <f>IF(AND(C$12&lt;='Calculation Appendix'!$D$10,'Calculation Appendix'!C$12&gt;='Calculation Appendix'!$C$10),(('Calculation Appendix'!C$13-(C$13*$B$11))/('Calculation Appendix'!$B$10)),0)</f>
        <v>12194</v>
      </c>
      <c r="D14" s="345">
        <f>IF(AND(D$12&lt;='Calculation Appendix'!$D$10,'Calculation Appendix'!D$12&gt;='Calculation Appendix'!$C$10),(('Calculation Appendix'!D$13-(D$13*$B$11))/('Calculation Appendix'!$B$10)),0)</f>
        <v>12194</v>
      </c>
      <c r="E14" s="345">
        <f>IF(AND(E$12&lt;='Calculation Appendix'!$D$10,'Calculation Appendix'!E$12&gt;='Calculation Appendix'!$C$10),(('Calculation Appendix'!E$13-(E$13*$B$11))/('Calculation Appendix'!$B$10)),0)</f>
        <v>12194</v>
      </c>
      <c r="F14" s="345">
        <f>IF(AND(F$12&lt;='Calculation Appendix'!$D$10,'Calculation Appendix'!F$12&gt;='Calculation Appendix'!$C$10),(('Calculation Appendix'!F$13-(F$13*$B$11))/('Calculation Appendix'!$B$10)),0)</f>
        <v>12194</v>
      </c>
      <c r="G14" s="345">
        <f>IF(AND(G$12&lt;='Calculation Appendix'!$D$10,'Calculation Appendix'!G$12&gt;='Calculation Appendix'!$C$10),(('Calculation Appendix'!G$13-(G$13*$B$11))/('Calculation Appendix'!$B$10)),0)</f>
        <v>12194</v>
      </c>
      <c r="H14" s="345">
        <f>IF(AND(H$12&lt;='Calculation Appendix'!$D$10,'Calculation Appendix'!H$12&gt;='Calculation Appendix'!$C$10),(('Calculation Appendix'!H$13-(H$13*$B$11))/('Calculation Appendix'!$B$10)),0)</f>
        <v>12194</v>
      </c>
      <c r="I14" s="345">
        <f>IF(AND(I$12&lt;='Calculation Appendix'!$D$10,'Calculation Appendix'!I$12&gt;='Calculation Appendix'!$C$10),(('Calculation Appendix'!I$13-(I$13*$B$11))/('Calculation Appendix'!$B$10)),0)</f>
        <v>12194</v>
      </c>
      <c r="J14" s="345">
        <f>IF(AND(J$12&lt;='Calculation Appendix'!$D$10,'Calculation Appendix'!J$12&gt;='Calculation Appendix'!$C$10),(('Calculation Appendix'!J$13-(J$13*$B$11))/('Calculation Appendix'!$B$10)),0)</f>
        <v>12194</v>
      </c>
      <c r="K14" s="345">
        <f>IF(AND(K$12&lt;='Calculation Appendix'!$D$10,'Calculation Appendix'!K$12&gt;='Calculation Appendix'!$C$10),(('Calculation Appendix'!K$13-(K$13*$B$11))/('Calculation Appendix'!$B$10)),0)</f>
        <v>12194</v>
      </c>
      <c r="L14" s="345">
        <f>IF(AND(L$12&lt;='Calculation Appendix'!$D$10,'Calculation Appendix'!L$12&gt;='Calculation Appendix'!$C$10),(('Calculation Appendix'!L$13-(L$13*$B$11))/('Calculation Appendix'!$B$10)),0)</f>
        <v>12194</v>
      </c>
      <c r="M14" s="345">
        <f>IF(AND(M$12&lt;='Calculation Appendix'!$D$10,'Calculation Appendix'!M$12&gt;='Calculation Appendix'!$C$10),(('Calculation Appendix'!M$13-(M$13*$B$11))/('Calculation Appendix'!$B$10)),0)</f>
        <v>12194</v>
      </c>
      <c r="N14" s="345">
        <f>IF(AND(N$12&lt;='Calculation Appendix'!$D$10,'Calculation Appendix'!N$12&gt;='Calculation Appendix'!$C$10),(('Calculation Appendix'!N$13-(N$13*$B$11))/('Calculation Appendix'!$B$10)),0)</f>
        <v>12194</v>
      </c>
      <c r="O14" s="345">
        <f>IF(AND(O$12&lt;='Calculation Appendix'!$D$10,'Calculation Appendix'!O$12&gt;='Calculation Appendix'!$C$10),(('Calculation Appendix'!O$13-(O$13*$B$11))/('Calculation Appendix'!$B$10)),0)</f>
        <v>12194</v>
      </c>
      <c r="P14" s="345">
        <f>IF(AND(P$12&lt;='Calculation Appendix'!$D$10,'Calculation Appendix'!P$12&gt;='Calculation Appendix'!$C$10),(('Calculation Appendix'!P$13-(P$13*$B$11))/('Calculation Appendix'!$B$10)),0)</f>
        <v>12194</v>
      </c>
      <c r="Q14" s="345">
        <f>IF(AND(Q$12&lt;='Calculation Appendix'!$D$10,'Calculation Appendix'!Q$12&gt;='Calculation Appendix'!$C$10),(('Calculation Appendix'!Q$13-(Q$13*$B$11))/('Calculation Appendix'!$B$10)),0)</f>
        <v>12194</v>
      </c>
      <c r="R14" s="345">
        <f>IF(AND(R$12&lt;='Calculation Appendix'!$D$10,'Calculation Appendix'!R$12&gt;='Calculation Appendix'!$C$10),(('Calculation Appendix'!R$13-(R$13*$B$11))/('Calculation Appendix'!$B$10)),0)</f>
        <v>12194</v>
      </c>
      <c r="S14" s="345">
        <f>IF(AND(S$12&lt;='Calculation Appendix'!$D$10,'Calculation Appendix'!S$12&gt;='Calculation Appendix'!$C$10),(('Calculation Appendix'!S$13-(S$13*$B$11))/('Calculation Appendix'!$B$10)),0)</f>
        <v>12194</v>
      </c>
      <c r="T14" s="345">
        <f>IF(AND(T$12&lt;='Calculation Appendix'!$D$10,'Calculation Appendix'!T$12&gt;='Calculation Appendix'!$C$10),(('Calculation Appendix'!T$13-(T$13*$B$11))/('Calculation Appendix'!$B$10)),0)</f>
        <v>12194</v>
      </c>
      <c r="U14" s="345">
        <f>IF(AND(U$12&lt;='Calculation Appendix'!$D$10,'Calculation Appendix'!U$12&gt;='Calculation Appendix'!$C$10),(('Calculation Appendix'!U$13-(U$13*$B$11))/('Calculation Appendix'!$B$10)),0)</f>
        <v>12194</v>
      </c>
      <c r="V14" s="345">
        <f>IF(AND(V$12&lt;='Calculation Appendix'!$D$10,'Calculation Appendix'!V$12&gt;='Calculation Appendix'!$C$10),(('Calculation Appendix'!V$13-(V$13*$B$11))/('Calculation Appendix'!$B$10)),0)</f>
        <v>12194</v>
      </c>
      <c r="W14" s="345">
        <f>IF(AND(W$12&lt;='Calculation Appendix'!$D$10,'Calculation Appendix'!W$12&gt;='Calculation Appendix'!$C$10),(('Calculation Appendix'!W$13-(W$13*$B$11))/('Calculation Appendix'!$B$10)),0)</f>
        <v>12194</v>
      </c>
      <c r="X14" s="345">
        <f>IF(AND(X$12&lt;='Calculation Appendix'!$D$10,'Calculation Appendix'!X$12&gt;='Calculation Appendix'!$C$10),(('Calculation Appendix'!X$13-(X$13*$B$11))/('Calculation Appendix'!$B$10)),0)</f>
        <v>12194</v>
      </c>
      <c r="Y14" s="345">
        <f>IF(AND(Y$12&lt;='Calculation Appendix'!$D$10,'Calculation Appendix'!Y$12&gt;='Calculation Appendix'!$C$10),(('Calculation Appendix'!Y$13-(Y$13*$B$11))/('Calculation Appendix'!$B$10)),0)</f>
        <v>12194</v>
      </c>
      <c r="Z14" s="345">
        <f>IF(AND(Z$12&lt;='Calculation Appendix'!$D$10,'Calculation Appendix'!Z$12&gt;='Calculation Appendix'!$C$10),(('Calculation Appendix'!Z$13-(Z$13*$B$11))/('Calculation Appendix'!$B$10)),0)</f>
        <v>12194</v>
      </c>
      <c r="AA14" s="346">
        <f>SUM(B14:Z14)</f>
        <v>304850</v>
      </c>
    </row>
    <row r="15" spans="1:27" s="343" customFormat="1" ht="15.75" thickBot="1">
      <c r="A15" s="344" t="s">
        <v>57</v>
      </c>
      <c r="B15" s="347">
        <f>B13-B14</f>
        <v>442806</v>
      </c>
      <c r="C15" s="347">
        <f>B15-C14</f>
        <v>430612</v>
      </c>
      <c r="D15" s="347">
        <f aca="true" t="shared" si="0" ref="D15:U15">C15-D14</f>
        <v>418418</v>
      </c>
      <c r="E15" s="347">
        <f t="shared" si="0"/>
        <v>406224</v>
      </c>
      <c r="F15" s="347">
        <f t="shared" si="0"/>
        <v>394030</v>
      </c>
      <c r="G15" s="347">
        <f t="shared" si="0"/>
        <v>381836</v>
      </c>
      <c r="H15" s="347">
        <f t="shared" si="0"/>
        <v>369642</v>
      </c>
      <c r="I15" s="347">
        <f t="shared" si="0"/>
        <v>357448</v>
      </c>
      <c r="J15" s="347">
        <f t="shared" si="0"/>
        <v>345254</v>
      </c>
      <c r="K15" s="347">
        <f t="shared" si="0"/>
        <v>333060</v>
      </c>
      <c r="L15" s="347">
        <f t="shared" si="0"/>
        <v>320866</v>
      </c>
      <c r="M15" s="347">
        <f t="shared" si="0"/>
        <v>308672</v>
      </c>
      <c r="N15" s="347">
        <f t="shared" si="0"/>
        <v>296478</v>
      </c>
      <c r="O15" s="347">
        <f t="shared" si="0"/>
        <v>284284</v>
      </c>
      <c r="P15" s="347">
        <f t="shared" si="0"/>
        <v>272090</v>
      </c>
      <c r="Q15" s="347">
        <f t="shared" si="0"/>
        <v>259896</v>
      </c>
      <c r="R15" s="347">
        <f t="shared" si="0"/>
        <v>247702</v>
      </c>
      <c r="S15" s="347">
        <f t="shared" si="0"/>
        <v>235508</v>
      </c>
      <c r="T15" s="347">
        <f t="shared" si="0"/>
        <v>223314</v>
      </c>
      <c r="U15" s="347">
        <f t="shared" si="0"/>
        <v>211120</v>
      </c>
      <c r="V15" s="347">
        <f>U15-V14</f>
        <v>198926</v>
      </c>
      <c r="W15" s="347">
        <f>V15-W14</f>
        <v>186732</v>
      </c>
      <c r="X15" s="347">
        <f>W15-X14</f>
        <v>174538</v>
      </c>
      <c r="Y15" s="347">
        <f>X15-Y14</f>
        <v>162344</v>
      </c>
      <c r="Z15" s="347">
        <f>Y15-Z14</f>
        <v>150150</v>
      </c>
      <c r="AA15" s="348">
        <f>AA13-AA14</f>
        <v>150150</v>
      </c>
    </row>
    <row r="16" spans="1:22" ht="15">
      <c r="A16" s="213"/>
      <c r="B16" s="94"/>
      <c r="C16" s="94"/>
      <c r="D16" s="94"/>
      <c r="E16" s="94"/>
      <c r="F16" s="94"/>
      <c r="G16" s="94"/>
      <c r="H16" s="94"/>
      <c r="I16" s="94"/>
      <c r="J16" s="94"/>
      <c r="K16" s="94"/>
      <c r="L16" s="94"/>
      <c r="M16" s="94"/>
      <c r="N16" s="94"/>
      <c r="O16" s="94"/>
      <c r="P16" s="94"/>
      <c r="Q16" s="94"/>
      <c r="R16" s="94"/>
      <c r="S16" s="94"/>
      <c r="T16" s="94"/>
      <c r="U16" s="94"/>
      <c r="V16" s="98"/>
    </row>
    <row r="17" spans="1:22" ht="15.75" thickBot="1">
      <c r="A17" s="213"/>
      <c r="B17" s="94"/>
      <c r="C17" s="94"/>
      <c r="D17" s="94"/>
      <c r="E17" s="94"/>
      <c r="F17" s="94"/>
      <c r="G17" s="94"/>
      <c r="H17" s="94"/>
      <c r="I17" s="94"/>
      <c r="J17" s="94"/>
      <c r="K17" s="94"/>
      <c r="L17" s="94"/>
      <c r="M17" s="94"/>
      <c r="N17" s="94"/>
      <c r="O17" s="94"/>
      <c r="P17" s="94"/>
      <c r="Q17" s="94"/>
      <c r="R17" s="94"/>
      <c r="S17" s="94"/>
      <c r="T17" s="94"/>
      <c r="U17" s="94"/>
      <c r="V17" s="98"/>
    </row>
    <row r="18" spans="1:22" ht="20.25">
      <c r="A18" s="82" t="s">
        <v>121</v>
      </c>
      <c r="B18" s="214"/>
      <c r="C18" s="214"/>
      <c r="D18" s="214"/>
      <c r="E18" s="214"/>
      <c r="F18" s="214"/>
      <c r="G18" s="215"/>
      <c r="H18" s="94"/>
      <c r="I18" s="94"/>
      <c r="J18" s="94"/>
      <c r="K18" s="94"/>
      <c r="L18" s="94"/>
      <c r="M18" s="94"/>
      <c r="N18" s="94"/>
      <c r="O18" s="94"/>
      <c r="P18" s="94"/>
      <c r="Q18" s="94"/>
      <c r="R18" s="94"/>
      <c r="S18" s="94"/>
      <c r="T18" s="94"/>
      <c r="U18" s="94"/>
      <c r="V18" s="98"/>
    </row>
    <row r="19" spans="1:22" ht="20.25">
      <c r="A19" s="216"/>
      <c r="B19" s="217"/>
      <c r="C19" s="217"/>
      <c r="D19" s="217"/>
      <c r="E19" s="217"/>
      <c r="F19" s="217"/>
      <c r="G19" s="218"/>
      <c r="H19" s="94"/>
      <c r="I19" s="94"/>
      <c r="J19" s="94"/>
      <c r="K19" s="94"/>
      <c r="L19" s="94"/>
      <c r="M19" s="94"/>
      <c r="N19" s="94"/>
      <c r="O19" s="94"/>
      <c r="P19" s="94"/>
      <c r="Q19" s="94"/>
      <c r="R19" s="94"/>
      <c r="S19" s="94"/>
      <c r="T19" s="94"/>
      <c r="U19" s="94"/>
      <c r="V19" s="98"/>
    </row>
    <row r="20" spans="1:22" ht="15">
      <c r="A20" s="84" t="s">
        <v>49</v>
      </c>
      <c r="B20" s="219">
        <f>'Assumptions '!D38</f>
        <v>455000</v>
      </c>
      <c r="C20" s="220"/>
      <c r="D20" s="220"/>
      <c r="E20" s="220"/>
      <c r="F20" s="220"/>
      <c r="G20" s="218"/>
      <c r="H20" s="94"/>
      <c r="I20" s="94"/>
      <c r="J20" s="94"/>
      <c r="K20" s="94"/>
      <c r="L20" s="94"/>
      <c r="M20" s="94"/>
      <c r="N20" s="94"/>
      <c r="O20" s="94"/>
      <c r="P20" s="94"/>
      <c r="Q20" s="94"/>
      <c r="R20" s="94"/>
      <c r="S20" s="94"/>
      <c r="T20" s="94"/>
      <c r="U20" s="94"/>
      <c r="V20" s="98"/>
    </row>
    <row r="21" spans="1:22" ht="15">
      <c r="A21" s="84" t="s">
        <v>103</v>
      </c>
      <c r="B21" s="219"/>
      <c r="C21" s="231">
        <v>1</v>
      </c>
      <c r="D21" s="231">
        <v>6</v>
      </c>
      <c r="E21" s="220"/>
      <c r="F21" s="220"/>
      <c r="G21" s="218"/>
      <c r="H21" s="94"/>
      <c r="I21" s="94"/>
      <c r="J21" s="94"/>
      <c r="K21" s="94"/>
      <c r="L21" s="94"/>
      <c r="M21" s="94"/>
      <c r="N21" s="94"/>
      <c r="O21" s="94"/>
      <c r="P21" s="94"/>
      <c r="Q21" s="94"/>
      <c r="R21" s="94"/>
      <c r="S21" s="94"/>
      <c r="T21" s="94"/>
      <c r="U21" s="94"/>
      <c r="V21" s="98"/>
    </row>
    <row r="22" spans="1:22" ht="15">
      <c r="A22" s="84" t="s">
        <v>122</v>
      </c>
      <c r="B22" s="221">
        <v>1</v>
      </c>
      <c r="C22" s="221">
        <v>2</v>
      </c>
      <c r="D22" s="221">
        <v>3</v>
      </c>
      <c r="E22" s="221">
        <v>4</v>
      </c>
      <c r="F22" s="221">
        <v>5</v>
      </c>
      <c r="G22" s="222">
        <v>6</v>
      </c>
      <c r="H22" s="94"/>
      <c r="I22" s="94"/>
      <c r="J22" s="94"/>
      <c r="K22" s="94"/>
      <c r="L22" s="94"/>
      <c r="M22" s="94"/>
      <c r="N22" s="94"/>
      <c r="O22" s="94"/>
      <c r="P22" s="94"/>
      <c r="Q22" s="94"/>
      <c r="R22" s="94"/>
      <c r="S22" s="94"/>
      <c r="T22" s="94"/>
      <c r="U22" s="94"/>
      <c r="V22" s="98"/>
    </row>
    <row r="23" spans="1:22" ht="15">
      <c r="A23" s="84" t="s">
        <v>51</v>
      </c>
      <c r="B23" s="223">
        <f>B20</f>
        <v>455000</v>
      </c>
      <c r="C23" s="223">
        <f>B26</f>
        <v>364000</v>
      </c>
      <c r="D23" s="223">
        <f>C26</f>
        <v>218400</v>
      </c>
      <c r="E23" s="223">
        <f>D26</f>
        <v>131040</v>
      </c>
      <c r="F23" s="223">
        <f>E26</f>
        <v>78624</v>
      </c>
      <c r="G23" s="224">
        <f>F26</f>
        <v>26208</v>
      </c>
      <c r="H23" s="94"/>
      <c r="I23" s="94"/>
      <c r="J23" s="94"/>
      <c r="K23" s="94"/>
      <c r="L23" s="94"/>
      <c r="M23" s="94"/>
      <c r="N23" s="94"/>
      <c r="O23" s="94"/>
      <c r="P23" s="94"/>
      <c r="Q23" s="94"/>
      <c r="R23" s="94"/>
      <c r="S23" s="94"/>
      <c r="T23" s="94"/>
      <c r="U23" s="94"/>
      <c r="V23" s="98"/>
    </row>
    <row r="24" spans="1:22" ht="15">
      <c r="A24" s="84" t="s">
        <v>123</v>
      </c>
      <c r="B24" s="234">
        <v>0.2</v>
      </c>
      <c r="C24" s="234">
        <v>0.32</v>
      </c>
      <c r="D24" s="234">
        <v>0.192</v>
      </c>
      <c r="E24" s="234">
        <v>0.1152</v>
      </c>
      <c r="F24" s="234">
        <v>0.1152</v>
      </c>
      <c r="G24" s="235">
        <v>0.0576</v>
      </c>
      <c r="H24" s="94"/>
      <c r="I24" s="94"/>
      <c r="J24" s="94"/>
      <c r="K24" s="94"/>
      <c r="L24" s="94"/>
      <c r="M24" s="94"/>
      <c r="N24" s="94"/>
      <c r="O24" s="94"/>
      <c r="P24" s="94"/>
      <c r="Q24" s="94"/>
      <c r="R24" s="94"/>
      <c r="S24" s="94"/>
      <c r="T24" s="94"/>
      <c r="U24" s="94"/>
      <c r="V24" s="98"/>
    </row>
    <row r="25" spans="1:22" ht="15">
      <c r="A25" s="84" t="s">
        <v>102</v>
      </c>
      <c r="B25" s="223">
        <f aca="true" t="shared" si="1" ref="B25:G25">$B$20*B24</f>
        <v>91000</v>
      </c>
      <c r="C25" s="223">
        <f t="shared" si="1"/>
        <v>145600</v>
      </c>
      <c r="D25" s="223">
        <f t="shared" si="1"/>
        <v>87360</v>
      </c>
      <c r="E25" s="223">
        <f t="shared" si="1"/>
        <v>52416</v>
      </c>
      <c r="F25" s="223">
        <f t="shared" si="1"/>
        <v>52416</v>
      </c>
      <c r="G25" s="225">
        <f t="shared" si="1"/>
        <v>26208</v>
      </c>
      <c r="H25" s="94"/>
      <c r="I25" s="94"/>
      <c r="J25" s="94"/>
      <c r="K25" s="94"/>
      <c r="L25" s="94"/>
      <c r="M25" s="94"/>
      <c r="N25" s="94"/>
      <c r="O25" s="94"/>
      <c r="P25" s="94"/>
      <c r="Q25" s="94"/>
      <c r="R25" s="94"/>
      <c r="S25" s="94"/>
      <c r="T25" s="94"/>
      <c r="U25" s="94"/>
      <c r="V25" s="98"/>
    </row>
    <row r="26" spans="1:22" ht="18" customHeight="1">
      <c r="A26" s="84" t="s">
        <v>124</v>
      </c>
      <c r="B26" s="223">
        <f aca="true" t="shared" si="2" ref="B26:G26">B23-B25</f>
        <v>364000</v>
      </c>
      <c r="C26" s="223">
        <f t="shared" si="2"/>
        <v>218400</v>
      </c>
      <c r="D26" s="223">
        <f t="shared" si="2"/>
        <v>131040</v>
      </c>
      <c r="E26" s="223">
        <f t="shared" si="2"/>
        <v>78624</v>
      </c>
      <c r="F26" s="223">
        <f t="shared" si="2"/>
        <v>26208</v>
      </c>
      <c r="G26" s="224">
        <f t="shared" si="2"/>
        <v>0</v>
      </c>
      <c r="H26" s="94"/>
      <c r="I26" s="94"/>
      <c r="J26" s="94"/>
      <c r="K26" s="94"/>
      <c r="L26" s="94"/>
      <c r="M26" s="94"/>
      <c r="N26" s="94"/>
      <c r="O26" s="94"/>
      <c r="P26" s="94"/>
      <c r="Q26" s="94"/>
      <c r="R26" s="94"/>
      <c r="S26" s="94"/>
      <c r="T26" s="94"/>
      <c r="U26" s="94"/>
      <c r="V26" s="98"/>
    </row>
    <row r="27" spans="1:22" ht="15">
      <c r="A27" s="84"/>
      <c r="B27" s="226"/>
      <c r="C27" s="226"/>
      <c r="D27" s="226"/>
      <c r="E27" s="226"/>
      <c r="F27" s="226"/>
      <c r="G27" s="227"/>
      <c r="H27" s="94"/>
      <c r="I27" s="94"/>
      <c r="J27" s="94"/>
      <c r="K27" s="94"/>
      <c r="L27" s="94"/>
      <c r="M27" s="94"/>
      <c r="N27" s="94"/>
      <c r="O27" s="94"/>
      <c r="P27" s="94"/>
      <c r="Q27" s="94"/>
      <c r="R27" s="94"/>
      <c r="S27" s="94"/>
      <c r="T27" s="94"/>
      <c r="U27" s="94"/>
      <c r="V27" s="98"/>
    </row>
    <row r="28" spans="1:22" ht="15">
      <c r="A28" s="84" t="s">
        <v>125</v>
      </c>
      <c r="B28" s="226">
        <f>SUM(B25:G25)</f>
        <v>455000</v>
      </c>
      <c r="C28" s="226"/>
      <c r="D28" s="226"/>
      <c r="E28" s="226"/>
      <c r="F28" s="226"/>
      <c r="G28" s="227"/>
      <c r="H28" s="94"/>
      <c r="I28" s="94"/>
      <c r="J28" s="94"/>
      <c r="K28" s="94"/>
      <c r="L28" s="94"/>
      <c r="M28" s="94"/>
      <c r="N28" s="94"/>
      <c r="O28" s="94"/>
      <c r="P28" s="94"/>
      <c r="Q28" s="94"/>
      <c r="R28" s="94"/>
      <c r="S28" s="94"/>
      <c r="T28" s="94"/>
      <c r="U28" s="94"/>
      <c r="V28" s="98"/>
    </row>
    <row r="29" spans="1:7" ht="15.75" thickBot="1">
      <c r="A29" s="86"/>
      <c r="B29" s="228"/>
      <c r="C29" s="228"/>
      <c r="D29" s="228"/>
      <c r="E29" s="228"/>
      <c r="F29" s="228"/>
      <c r="G29" s="229"/>
    </row>
    <row r="31" ht="15.75" thickBot="1"/>
    <row r="32" spans="1:26" ht="20.25">
      <c r="A32" s="87" t="s">
        <v>53</v>
      </c>
      <c r="B32" s="269"/>
      <c r="C32" s="269"/>
      <c r="D32" s="269"/>
      <c r="E32" s="269"/>
      <c r="F32" s="269"/>
      <c r="G32" s="269"/>
      <c r="H32" s="269"/>
      <c r="I32" s="269"/>
      <c r="J32" s="269"/>
      <c r="K32" s="269"/>
      <c r="L32" s="269"/>
      <c r="M32" s="92"/>
      <c r="N32" s="92"/>
      <c r="O32" s="92"/>
      <c r="P32" s="92"/>
      <c r="Q32" s="92"/>
      <c r="R32" s="92"/>
      <c r="S32" s="92"/>
      <c r="T32" s="92"/>
      <c r="U32" s="92"/>
      <c r="V32" s="92"/>
      <c r="W32" s="92"/>
      <c r="X32" s="92"/>
      <c r="Y32" s="92"/>
      <c r="Z32" s="93"/>
    </row>
    <row r="33" spans="1:26" s="91" customFormat="1" ht="13.5" customHeight="1">
      <c r="A33" s="85" t="s">
        <v>50</v>
      </c>
      <c r="B33" s="88">
        <v>1</v>
      </c>
      <c r="C33" s="88">
        <v>2</v>
      </c>
      <c r="D33" s="88">
        <v>3</v>
      </c>
      <c r="E33" s="88">
        <v>4</v>
      </c>
      <c r="F33" s="88">
        <v>5</v>
      </c>
      <c r="G33" s="88">
        <v>6</v>
      </c>
      <c r="H33" s="88">
        <v>7</v>
      </c>
      <c r="I33" s="88">
        <v>8</v>
      </c>
      <c r="J33" s="88">
        <v>9</v>
      </c>
      <c r="K33" s="88">
        <v>10</v>
      </c>
      <c r="L33" s="89">
        <v>11</v>
      </c>
      <c r="M33" s="89">
        <v>12</v>
      </c>
      <c r="N33" s="89">
        <v>13</v>
      </c>
      <c r="O33" s="89">
        <v>14</v>
      </c>
      <c r="P33" s="89">
        <v>15</v>
      </c>
      <c r="Q33" s="88">
        <v>16</v>
      </c>
      <c r="R33" s="88">
        <v>17</v>
      </c>
      <c r="S33" s="88">
        <v>18</v>
      </c>
      <c r="T33" s="88">
        <v>19</v>
      </c>
      <c r="U33" s="88">
        <v>20</v>
      </c>
      <c r="V33" s="88">
        <v>21</v>
      </c>
      <c r="W33" s="88">
        <v>22</v>
      </c>
      <c r="X33" s="88">
        <v>23</v>
      </c>
      <c r="Y33" s="88">
        <v>24</v>
      </c>
      <c r="Z33" s="90">
        <v>25</v>
      </c>
    </row>
    <row r="34" spans="1:26" s="349" customFormat="1" ht="15">
      <c r="A34" s="359" t="s">
        <v>54</v>
      </c>
      <c r="B34" s="345">
        <f>'Assumptions '!K59</f>
        <v>0</v>
      </c>
      <c r="C34" s="345">
        <f>IF(AND(B37&gt;=0),(B34-B36),0)</f>
        <v>0</v>
      </c>
      <c r="D34" s="345">
        <f aca="true" t="shared" si="3" ref="D34:U34">IF(AND(C37&gt;=0),(C34-C36),0)</f>
        <v>0</v>
      </c>
      <c r="E34" s="345">
        <f t="shared" si="3"/>
        <v>0</v>
      </c>
      <c r="F34" s="345">
        <f t="shared" si="3"/>
        <v>0</v>
      </c>
      <c r="G34" s="345">
        <f t="shared" si="3"/>
        <v>0</v>
      </c>
      <c r="H34" s="345">
        <f t="shared" si="3"/>
        <v>0</v>
      </c>
      <c r="I34" s="345">
        <f t="shared" si="3"/>
        <v>0</v>
      </c>
      <c r="J34" s="345">
        <f t="shared" si="3"/>
        <v>0</v>
      </c>
      <c r="K34" s="345">
        <f t="shared" si="3"/>
        <v>0</v>
      </c>
      <c r="L34" s="345">
        <f t="shared" si="3"/>
        <v>0</v>
      </c>
      <c r="M34" s="345">
        <f t="shared" si="3"/>
        <v>0</v>
      </c>
      <c r="N34" s="345">
        <f t="shared" si="3"/>
        <v>0</v>
      </c>
      <c r="O34" s="345">
        <f t="shared" si="3"/>
        <v>0</v>
      </c>
      <c r="P34" s="345">
        <f t="shared" si="3"/>
        <v>0</v>
      </c>
      <c r="Q34" s="345">
        <f t="shared" si="3"/>
        <v>0</v>
      </c>
      <c r="R34" s="345">
        <f t="shared" si="3"/>
        <v>0</v>
      </c>
      <c r="S34" s="345">
        <f t="shared" si="3"/>
        <v>0</v>
      </c>
      <c r="T34" s="345">
        <f t="shared" si="3"/>
        <v>0</v>
      </c>
      <c r="U34" s="345">
        <f t="shared" si="3"/>
        <v>0</v>
      </c>
      <c r="V34" s="345">
        <f>IF(AND(U37&gt;=0),(U34-U36),0)</f>
        <v>0</v>
      </c>
      <c r="W34" s="345">
        <f>IF(AND(V37&gt;=0),(V34-V36),0)</f>
        <v>0</v>
      </c>
      <c r="X34" s="345">
        <f>IF(AND(W37&gt;=0),(W34-W36),0)</f>
        <v>0</v>
      </c>
      <c r="Y34" s="345">
        <f>IF(AND(X37&gt;=0),(X34-X36),0)</f>
        <v>0</v>
      </c>
      <c r="Z34" s="346">
        <f>IF(AND(Y37&gt;=0),(Y34-Y36),0)</f>
        <v>0</v>
      </c>
    </row>
    <row r="35" spans="1:26" s="349" customFormat="1" ht="15">
      <c r="A35" s="359" t="s">
        <v>55</v>
      </c>
      <c r="B35" s="345">
        <f>IF(AND(B$33&lt;='Assumptions '!$N$62,'Calculation Appendix'!B$33&gt;='Assumptions '!$M$62),('Assumptions '!$K$61*'Calculation Appendix'!B$34),0)</f>
        <v>0</v>
      </c>
      <c r="C35" s="345">
        <f>IF(AND(C$33&lt;='Assumptions '!$N$62,'Calculation Appendix'!C$33&gt;='Assumptions '!$M$62),('Assumptions '!$K$61*'Calculation Appendix'!C$34),0)</f>
        <v>0</v>
      </c>
      <c r="D35" s="345">
        <f>IF(AND(D$33&lt;='Assumptions '!$N$62,'Calculation Appendix'!D$33&gt;='Assumptions '!$M$62),('Assumptions '!$K$61*'Calculation Appendix'!D$34),0)</f>
        <v>0</v>
      </c>
      <c r="E35" s="345">
        <f>IF(AND(E$33&lt;='Assumptions '!$N$62,'Calculation Appendix'!E$33&gt;='Assumptions '!$M$62),('Assumptions '!$K$61*'Calculation Appendix'!E$34),0)</f>
        <v>0</v>
      </c>
      <c r="F35" s="345">
        <f>IF(AND(F$33&lt;='Assumptions '!$N$62,'Calculation Appendix'!F$33&gt;='Assumptions '!$M$62),('Assumptions '!$K$61*'Calculation Appendix'!F$34),0)</f>
        <v>0</v>
      </c>
      <c r="G35" s="345">
        <f>IF(AND(G$33&lt;='Assumptions '!$N$62,'Calculation Appendix'!G$33&gt;='Assumptions '!$M$62),('Assumptions '!$K$61*'Calculation Appendix'!G$34),0)</f>
        <v>0</v>
      </c>
      <c r="H35" s="345">
        <f>IF(AND(H$33&lt;='Assumptions '!$N$62,'Calculation Appendix'!H$33&gt;='Assumptions '!$M$62),('Assumptions '!$K$61*'Calculation Appendix'!H$34),0)</f>
        <v>0</v>
      </c>
      <c r="I35" s="345">
        <f>IF(AND(I$33&lt;='Assumptions '!$N$62,'Calculation Appendix'!I$33&gt;='Assumptions '!$M$62),('Assumptions '!$K$61*'Calculation Appendix'!I$34),0)</f>
        <v>0</v>
      </c>
      <c r="J35" s="345">
        <f>IF(AND(J$33&lt;='Assumptions '!$N$62,'Calculation Appendix'!J$33&gt;='Assumptions '!$M$62),('Assumptions '!$K$61*'Calculation Appendix'!J$34),0)</f>
        <v>0</v>
      </c>
      <c r="K35" s="345">
        <f>IF(AND(K$33&lt;='Assumptions '!$N$62,'Calculation Appendix'!K$33&gt;='Assumptions '!$M$62),('Assumptions '!$K$61*'Calculation Appendix'!K$34),0)</f>
        <v>0</v>
      </c>
      <c r="L35" s="345">
        <f>IF(AND(L$33&lt;='Assumptions '!$N$62,'Calculation Appendix'!L$33&gt;='Assumptions '!$M$62),('Assumptions '!$K$61*'Calculation Appendix'!L$34),0)</f>
        <v>0</v>
      </c>
      <c r="M35" s="345">
        <f>IF(AND(M$33&lt;='Assumptions '!$N$62,'Calculation Appendix'!M$33&gt;='Assumptions '!$M$62),('Assumptions '!$K$61*'Calculation Appendix'!M$34),0)</f>
        <v>0</v>
      </c>
      <c r="N35" s="345">
        <f>IF(AND(N$33&lt;='Assumptions '!$N$62,'Calculation Appendix'!N$33&gt;='Assumptions '!$M$62),('Assumptions '!$K$61*'Calculation Appendix'!N$34),0)</f>
        <v>0</v>
      </c>
      <c r="O35" s="345">
        <f>IF(AND(O$33&lt;='Assumptions '!$N$62,'Calculation Appendix'!O$33&gt;='Assumptions '!$M$62),('Assumptions '!$K$61*'Calculation Appendix'!O$34),0)</f>
        <v>0</v>
      </c>
      <c r="P35" s="345">
        <f>IF(AND(P$33&lt;='Assumptions '!$N$62,'Calculation Appendix'!P$33&gt;='Assumptions '!$M$62),('Assumptions '!$K$61*'Calculation Appendix'!P$34),0)</f>
        <v>0</v>
      </c>
      <c r="Q35" s="345">
        <f>IF(AND(Q$33&lt;='Assumptions '!$N$62,'Calculation Appendix'!Q$33&gt;='Assumptions '!$M$62),('Assumptions '!$K$61*'Calculation Appendix'!Q$34),0)</f>
        <v>0</v>
      </c>
      <c r="R35" s="345">
        <f>IF(AND(R$33&lt;='Assumptions '!$N$62,'Calculation Appendix'!R$33&gt;='Assumptions '!$M$62),('Assumptions '!$K$61*'Calculation Appendix'!R$34),0)</f>
        <v>0</v>
      </c>
      <c r="S35" s="345">
        <f>IF(AND(S$33&lt;='Assumptions '!$N$62,'Calculation Appendix'!S$33&gt;='Assumptions '!$M$62),('Assumptions '!$K$61*'Calculation Appendix'!S$34),0)</f>
        <v>0</v>
      </c>
      <c r="T35" s="345">
        <f>IF(AND(T$33&lt;='Assumptions '!$N$62,'Calculation Appendix'!T$33&gt;='Assumptions '!$M$62),('Assumptions '!$K$61*'Calculation Appendix'!T$34),0)</f>
        <v>0</v>
      </c>
      <c r="U35" s="345">
        <f>IF(AND(U$33&lt;='Assumptions '!$N$62,'Calculation Appendix'!U$33&gt;='Assumptions '!$M$62),('Assumptions '!$K$61*'Calculation Appendix'!U$34),0)</f>
        <v>0</v>
      </c>
      <c r="V35" s="345">
        <f>IF(AND(V$33&lt;='Assumptions '!$N$62,'Calculation Appendix'!V$33&gt;='Assumptions '!$M$62),('Assumptions '!$K$61*'Calculation Appendix'!V$34),0)</f>
        <v>0</v>
      </c>
      <c r="W35" s="345">
        <f>IF(AND(W$33&lt;='Assumptions '!$N$62,'Calculation Appendix'!W$33&gt;='Assumptions '!$M$62),('Assumptions '!$K$61*'Calculation Appendix'!W$34),0)</f>
        <v>0</v>
      </c>
      <c r="X35" s="345">
        <f>IF(AND(X$33&lt;='Assumptions '!$N$62,'Calculation Appendix'!X$33&gt;='Assumptions '!$M$62),('Assumptions '!$K$61*'Calculation Appendix'!X$34),0)</f>
        <v>0</v>
      </c>
      <c r="Y35" s="345">
        <f>IF(AND(Y$33&lt;='Assumptions '!$N$62,'Calculation Appendix'!Y$33&gt;='Assumptions '!$M$62),('Assumptions '!$K$61*'Calculation Appendix'!Y$34),0)</f>
        <v>0</v>
      </c>
      <c r="Z35" s="346">
        <f>IF(AND(Z$33&lt;='Assumptions '!$N$62,'Calculation Appendix'!Z$33&gt;='Assumptions '!$M$62),('Assumptions '!$K$61*'Calculation Appendix'!Z$34),0)</f>
        <v>0</v>
      </c>
    </row>
    <row r="36" spans="1:26" s="349" customFormat="1" ht="15">
      <c r="A36" s="359" t="s">
        <v>56</v>
      </c>
      <c r="B36" s="345">
        <f>IF(AND('Calculation Appendix'!B$33&lt;='Assumptions '!$N$62,'Calculation Appendix'!B$33&gt;='Assumptions '!$M$62),('Assumptions '!$K$62-'Calculation Appendix'!B$35),0)</f>
        <v>0</v>
      </c>
      <c r="C36" s="345">
        <f>IF(AND('Calculation Appendix'!C$33&lt;='Assumptions '!$N$62,'Calculation Appendix'!C$33&gt;='Assumptions '!$M$62),('Assumptions '!$K$62-'Calculation Appendix'!C$35),0)</f>
        <v>0</v>
      </c>
      <c r="D36" s="345">
        <f>IF(AND('Calculation Appendix'!D$33&lt;='Assumptions '!$N$62,'Calculation Appendix'!D$33&gt;='Assumptions '!$M$62),('Assumptions '!$K$62-'Calculation Appendix'!D$35),0)</f>
        <v>0</v>
      </c>
      <c r="E36" s="345">
        <f>IF(AND('Calculation Appendix'!E$33&lt;='Assumptions '!$N$62,'Calculation Appendix'!E$33&gt;='Assumptions '!$M$62),('Assumptions '!$K$62-'Calculation Appendix'!E$35),0)</f>
        <v>0</v>
      </c>
      <c r="F36" s="345">
        <f>IF(AND('Calculation Appendix'!F$33&lt;='Assumptions '!$N$62,'Calculation Appendix'!F$33&gt;='Assumptions '!$M$62),('Assumptions '!$K$62-'Calculation Appendix'!F$35),0)</f>
        <v>0</v>
      </c>
      <c r="G36" s="345">
        <f>IF(AND('Calculation Appendix'!G$33&lt;='Assumptions '!$N$62,'Calculation Appendix'!G$33&gt;='Assumptions '!$M$62),('Assumptions '!$K$62-'Calculation Appendix'!G$35),0)</f>
        <v>0</v>
      </c>
      <c r="H36" s="345">
        <f>IF(AND('Calculation Appendix'!H$33&lt;='Assumptions '!$N$62,'Calculation Appendix'!H$33&gt;='Assumptions '!$M$62),('Assumptions '!$K$62-'Calculation Appendix'!H$35),0)</f>
        <v>0</v>
      </c>
      <c r="I36" s="345">
        <f>IF(AND('Calculation Appendix'!I$33&lt;='Assumptions '!$N$62,'Calculation Appendix'!I$33&gt;='Assumptions '!$M$62),('Assumptions '!$K$62-'Calculation Appendix'!I$35),0)</f>
        <v>0</v>
      </c>
      <c r="J36" s="345">
        <f>IF(AND('Calculation Appendix'!J$33&lt;='Assumptions '!$N$62,'Calculation Appendix'!J$33&gt;='Assumptions '!$M$62),('Assumptions '!$K$62-'Calculation Appendix'!J$35),0)</f>
        <v>0</v>
      </c>
      <c r="K36" s="345">
        <f>IF(AND('Calculation Appendix'!K$33&lt;='Assumptions '!$N$62,'Calculation Appendix'!K$33&gt;='Assumptions '!$M$62),('Assumptions '!$K$62-'Calculation Appendix'!K$35),0)</f>
        <v>0</v>
      </c>
      <c r="L36" s="345">
        <f>IF(AND('Calculation Appendix'!L$33&lt;='Assumptions '!$N$62,'Calculation Appendix'!L$33&gt;='Assumptions '!$M$62),('Assumptions '!$K$62-'Calculation Appendix'!L$35),0)</f>
        <v>0</v>
      </c>
      <c r="M36" s="345">
        <f>IF(AND('Calculation Appendix'!M$33&lt;='Assumptions '!$N$62,'Calculation Appendix'!M$33&gt;='Assumptions '!$M$62),('Assumptions '!$K$62-'Calculation Appendix'!M$35),0)</f>
        <v>0</v>
      </c>
      <c r="N36" s="345">
        <f>IF(AND('Calculation Appendix'!N$33&lt;='Assumptions '!$N$62,'Calculation Appendix'!N$33&gt;='Assumptions '!$M$62),('Assumptions '!$K$62-'Calculation Appendix'!N$35),0)</f>
        <v>0</v>
      </c>
      <c r="O36" s="345">
        <f>IF(AND('Calculation Appendix'!O$33&lt;='Assumptions '!$N$62,'Calculation Appendix'!O$33&gt;='Assumptions '!$M$62),('Assumptions '!$K$62-'Calculation Appendix'!O$35),0)</f>
        <v>0</v>
      </c>
      <c r="P36" s="345">
        <f>IF(AND('Calculation Appendix'!P$33&lt;='Assumptions '!$N$62,'Calculation Appendix'!P$33&gt;='Assumptions '!$M$62),('Assumptions '!$K$62-'Calculation Appendix'!P$35),0)</f>
        <v>0</v>
      </c>
      <c r="Q36" s="345">
        <f>IF(AND('Calculation Appendix'!Q$33&lt;='Assumptions '!$N$62,'Calculation Appendix'!Q$33&gt;='Assumptions '!$M$62),('Assumptions '!$K$62-'Calculation Appendix'!Q$35),0)</f>
        <v>0</v>
      </c>
      <c r="R36" s="345">
        <f>IF(AND('Calculation Appendix'!R$33&lt;='Assumptions '!$N$62,'Calculation Appendix'!R$33&gt;='Assumptions '!$M$62),('Assumptions '!$K$62-'Calculation Appendix'!R$35),0)</f>
        <v>0</v>
      </c>
      <c r="S36" s="345">
        <f>IF(AND('Calculation Appendix'!S$33&lt;='Assumptions '!$N$62,'Calculation Appendix'!S$33&gt;='Assumptions '!$M$62),('Assumptions '!$K$62-'Calculation Appendix'!S$35),0)</f>
        <v>0</v>
      </c>
      <c r="T36" s="345">
        <f>IF(AND('Calculation Appendix'!T$33&lt;='Assumptions '!$N$62,'Calculation Appendix'!T$33&gt;='Assumptions '!$M$62),('Assumptions '!$K$62-'Calculation Appendix'!T$35),0)</f>
        <v>0</v>
      </c>
      <c r="U36" s="345">
        <f>IF(AND('Calculation Appendix'!U$33&lt;='Assumptions '!$N$62,'Calculation Appendix'!U$33&gt;='Assumptions '!$M$62),('Assumptions '!$K$62-'Calculation Appendix'!U$35),0)</f>
        <v>0</v>
      </c>
      <c r="V36" s="345">
        <f>IF(AND('Calculation Appendix'!V$33&lt;='Assumptions '!$N$62,'Calculation Appendix'!V$33&gt;='Assumptions '!$M$62),('Assumptions '!$K$62-'Calculation Appendix'!V$35),0)</f>
        <v>0</v>
      </c>
      <c r="W36" s="345">
        <f>IF(AND('Calculation Appendix'!W$33&lt;='Assumptions '!$N$62,'Calculation Appendix'!W$33&gt;='Assumptions '!$M$62),('Assumptions '!$K$62-'Calculation Appendix'!W$35),0)</f>
        <v>0</v>
      </c>
      <c r="X36" s="345">
        <f>IF(AND('Calculation Appendix'!X$33&lt;='Assumptions '!$N$62,'Calculation Appendix'!X$33&gt;='Assumptions '!$M$62),('Assumptions '!$K$62-'Calculation Appendix'!X$35),0)</f>
        <v>0</v>
      </c>
      <c r="Y36" s="345">
        <f>IF(AND('Calculation Appendix'!Y$33&lt;='Assumptions '!$N$62,'Calculation Appendix'!Y$33&gt;='Assumptions '!$M$62),('Assumptions '!$K$62-'Calculation Appendix'!Y$35),0)</f>
        <v>0</v>
      </c>
      <c r="Z36" s="346">
        <f>IF(AND('Calculation Appendix'!Z$33&lt;='Assumptions '!$N$62,'Calculation Appendix'!Z$33&gt;='Assumptions '!$M$62),('Assumptions '!$K$62-'Calculation Appendix'!Z$35),0)</f>
        <v>0</v>
      </c>
    </row>
    <row r="37" spans="1:26" s="349" customFormat="1" ht="15">
      <c r="A37" s="359" t="s">
        <v>57</v>
      </c>
      <c r="B37" s="345">
        <f>B34-B36</f>
        <v>0</v>
      </c>
      <c r="C37" s="345">
        <f>C34-C36</f>
        <v>0</v>
      </c>
      <c r="D37" s="345">
        <f aca="true" t="shared" si="4" ref="D37:U37">D34-D36</f>
        <v>0</v>
      </c>
      <c r="E37" s="345">
        <f t="shared" si="4"/>
        <v>0</v>
      </c>
      <c r="F37" s="345">
        <f t="shared" si="4"/>
        <v>0</v>
      </c>
      <c r="G37" s="345">
        <f t="shared" si="4"/>
        <v>0</v>
      </c>
      <c r="H37" s="345">
        <f t="shared" si="4"/>
        <v>0</v>
      </c>
      <c r="I37" s="345">
        <f t="shared" si="4"/>
        <v>0</v>
      </c>
      <c r="J37" s="345">
        <f t="shared" si="4"/>
        <v>0</v>
      </c>
      <c r="K37" s="345">
        <f>K34-K36</f>
        <v>0</v>
      </c>
      <c r="L37" s="345">
        <f>L34-L36</f>
        <v>0</v>
      </c>
      <c r="M37" s="345">
        <f t="shared" si="4"/>
        <v>0</v>
      </c>
      <c r="N37" s="345">
        <f t="shared" si="4"/>
        <v>0</v>
      </c>
      <c r="O37" s="345">
        <f t="shared" si="4"/>
        <v>0</v>
      </c>
      <c r="P37" s="345">
        <f t="shared" si="4"/>
        <v>0</v>
      </c>
      <c r="Q37" s="345">
        <f t="shared" si="4"/>
        <v>0</v>
      </c>
      <c r="R37" s="345">
        <f t="shared" si="4"/>
        <v>0</v>
      </c>
      <c r="S37" s="345">
        <f t="shared" si="4"/>
        <v>0</v>
      </c>
      <c r="T37" s="345">
        <f t="shared" si="4"/>
        <v>0</v>
      </c>
      <c r="U37" s="345">
        <f t="shared" si="4"/>
        <v>0</v>
      </c>
      <c r="V37" s="345">
        <f>V34-V36</f>
        <v>0</v>
      </c>
      <c r="W37" s="345">
        <f>W34-W36</f>
        <v>0</v>
      </c>
      <c r="X37" s="345">
        <f>X34-X36</f>
        <v>0</v>
      </c>
      <c r="Y37" s="345">
        <f>Y34-Y36</f>
        <v>0</v>
      </c>
      <c r="Z37" s="346">
        <f>Z34-Z36</f>
        <v>0</v>
      </c>
    </row>
    <row r="38" spans="1:26" ht="15.75" thickBot="1">
      <c r="A38" s="86"/>
      <c r="B38" s="96"/>
      <c r="C38" s="96"/>
      <c r="D38" s="96"/>
      <c r="E38" s="96"/>
      <c r="F38" s="96"/>
      <c r="G38" s="96"/>
      <c r="H38" s="96"/>
      <c r="I38" s="96"/>
      <c r="J38" s="96"/>
      <c r="K38" s="96"/>
      <c r="L38" s="96"/>
      <c r="M38" s="96"/>
      <c r="N38" s="96"/>
      <c r="O38" s="96"/>
      <c r="P38" s="96"/>
      <c r="Q38" s="96"/>
      <c r="R38" s="96"/>
      <c r="S38" s="96"/>
      <c r="T38" s="96"/>
      <c r="U38" s="96"/>
      <c r="V38" s="96"/>
      <c r="W38" s="96"/>
      <c r="X38" s="96"/>
      <c r="Y38" s="96"/>
      <c r="Z38" s="97"/>
    </row>
    <row r="39" ht="15.75" thickBot="1">
      <c r="B39" s="99"/>
    </row>
    <row r="40" spans="1:26" s="248" customFormat="1" ht="19.5">
      <c r="A40" s="87" t="s">
        <v>144</v>
      </c>
      <c r="B40" s="247"/>
      <c r="C40" s="247"/>
      <c r="D40" s="247"/>
      <c r="E40" s="247"/>
      <c r="F40" s="247"/>
      <c r="G40" s="247"/>
      <c r="H40" s="247"/>
      <c r="I40" s="247"/>
      <c r="J40" s="247"/>
      <c r="K40" s="247"/>
      <c r="L40" s="247"/>
      <c r="M40" s="247"/>
      <c r="N40" s="247"/>
      <c r="O40" s="247"/>
      <c r="P40" s="247"/>
      <c r="Q40" s="247"/>
      <c r="R40" s="247"/>
      <c r="S40" s="247"/>
      <c r="T40" s="247"/>
      <c r="U40" s="247"/>
      <c r="V40" s="247"/>
      <c r="W40" s="363"/>
      <c r="X40" s="363"/>
      <c r="Y40" s="363"/>
      <c r="Z40" s="364"/>
    </row>
    <row r="41" spans="1:26" s="249" customFormat="1" ht="12.75">
      <c r="A41" s="84" t="s">
        <v>50</v>
      </c>
      <c r="B41" s="88">
        <v>1</v>
      </c>
      <c r="C41" s="88">
        <v>2</v>
      </c>
      <c r="D41" s="88">
        <v>3</v>
      </c>
      <c r="E41" s="88">
        <v>4</v>
      </c>
      <c r="F41" s="88">
        <v>5</v>
      </c>
      <c r="G41" s="88">
        <v>6</v>
      </c>
      <c r="H41" s="88">
        <v>7</v>
      </c>
      <c r="I41" s="88">
        <v>8</v>
      </c>
      <c r="J41" s="88">
        <v>9</v>
      </c>
      <c r="K41" s="88">
        <v>10</v>
      </c>
      <c r="L41" s="89">
        <v>11</v>
      </c>
      <c r="M41" s="89">
        <v>12</v>
      </c>
      <c r="N41" s="89">
        <v>13</v>
      </c>
      <c r="O41" s="89">
        <v>14</v>
      </c>
      <c r="P41" s="89">
        <v>15</v>
      </c>
      <c r="Q41" s="88">
        <v>16</v>
      </c>
      <c r="R41" s="88">
        <v>17</v>
      </c>
      <c r="S41" s="88">
        <v>18</v>
      </c>
      <c r="T41" s="88">
        <v>19</v>
      </c>
      <c r="U41" s="88">
        <v>20</v>
      </c>
      <c r="V41" s="88">
        <v>21</v>
      </c>
      <c r="W41" s="88">
        <v>22</v>
      </c>
      <c r="X41" s="88">
        <v>23</v>
      </c>
      <c r="Y41" s="88">
        <v>24</v>
      </c>
      <c r="Z41" s="90">
        <v>25</v>
      </c>
    </row>
    <row r="42" spans="1:26" s="248" customFormat="1" ht="12.75">
      <c r="A42" s="84" t="s">
        <v>184</v>
      </c>
      <c r="B42" s="254">
        <f>'Assumptions '!$C$31</f>
        <v>0</v>
      </c>
      <c r="C42" s="254">
        <f>B42*(1+'Assumptions '!$D$31)</f>
        <v>0</v>
      </c>
      <c r="D42" s="254">
        <f>C42*(1+'Assumptions '!$D$31)</f>
        <v>0</v>
      </c>
      <c r="E42" s="254">
        <f>D42*(1+'Assumptions '!$D$31)</f>
        <v>0</v>
      </c>
      <c r="F42" s="254">
        <f>E42*(1+'Assumptions '!$D$31)</f>
        <v>0</v>
      </c>
      <c r="G42" s="254">
        <f>F42*(1+'Assumptions '!$D$31)</f>
        <v>0</v>
      </c>
      <c r="H42" s="254">
        <f>G42*(1+'Assumptions '!$D$31)</f>
        <v>0</v>
      </c>
      <c r="I42" s="254">
        <f>H42*(1+'Assumptions '!$D$31)</f>
        <v>0</v>
      </c>
      <c r="J42" s="254">
        <f>I42*(1+'Assumptions '!$D$31)</f>
        <v>0</v>
      </c>
      <c r="K42" s="254">
        <f>J42*(1+'Assumptions '!$D$31)</f>
        <v>0</v>
      </c>
      <c r="L42" s="254">
        <f>K42*(1+'Assumptions '!$D$31)</f>
        <v>0</v>
      </c>
      <c r="M42" s="254">
        <f>L42*(1+'Assumptions '!$D$31)</f>
        <v>0</v>
      </c>
      <c r="N42" s="254">
        <f>M42*(1+'Assumptions '!$D$31)</f>
        <v>0</v>
      </c>
      <c r="O42" s="254">
        <f>N42*(1+'Assumptions '!$D$31)</f>
        <v>0</v>
      </c>
      <c r="P42" s="254">
        <f>O42*(1+'Assumptions '!$D$31)</f>
        <v>0</v>
      </c>
      <c r="Q42" s="254">
        <f>P42*(1+'Assumptions '!$D$31)</f>
        <v>0</v>
      </c>
      <c r="R42" s="254">
        <f>Q42*(1+'Assumptions '!$D$31)</f>
        <v>0</v>
      </c>
      <c r="S42" s="254">
        <f>R42*(1+'Assumptions '!$D$31)</f>
        <v>0</v>
      </c>
      <c r="T42" s="254">
        <f>S42*(1+'Assumptions '!$D$31)</f>
        <v>0</v>
      </c>
      <c r="U42" s="254">
        <f>T42*(1+'Assumptions '!$D$31)</f>
        <v>0</v>
      </c>
      <c r="V42" s="213"/>
      <c r="W42" s="360"/>
      <c r="X42" s="360"/>
      <c r="Y42" s="360"/>
      <c r="Z42" s="365"/>
    </row>
    <row r="43" spans="1:26" s="352" customFormat="1" ht="12.75">
      <c r="A43" s="350" t="s">
        <v>143</v>
      </c>
      <c r="B43" s="351">
        <f>IF(AND(B41&lt;='Assumptions '!$F$31,'Calculation Appendix'!B41&gt;='Assumptions '!$E$31),('Assumptions '!$C$14*'Calculation Appendix'!B42),0)</f>
        <v>0</v>
      </c>
      <c r="C43" s="351">
        <f>IF(AND(C41&lt;='Assumptions '!$F$31,'Calculation Appendix'!C41&gt;='Assumptions '!$E$31),('Assumptions '!$C$14*'Calculation Appendix'!C42),0)</f>
        <v>0</v>
      </c>
      <c r="D43" s="351">
        <f>IF(AND(D41&lt;='Assumptions '!$F$31,'Calculation Appendix'!D41&gt;='Assumptions '!$E$31),('Assumptions '!$C$14*'Calculation Appendix'!D42),0)</f>
        <v>0</v>
      </c>
      <c r="E43" s="351">
        <f>IF(AND(E41&lt;='Assumptions '!$F$31,'Calculation Appendix'!E41&gt;='Assumptions '!$E$31),('Assumptions '!$C$14*'Calculation Appendix'!E42),0)</f>
        <v>0</v>
      </c>
      <c r="F43" s="351">
        <f>IF(AND(F41&lt;='Assumptions '!$F$31,'Calculation Appendix'!F41&gt;='Assumptions '!$E$31),('Assumptions '!$C$14*'Calculation Appendix'!F42),0)</f>
        <v>0</v>
      </c>
      <c r="G43" s="351">
        <f>IF(AND(G41&lt;='Assumptions '!$F$31,'Calculation Appendix'!G41&gt;='Assumptions '!$E$31),('Assumptions '!$C$14*'Calculation Appendix'!G42),0)</f>
        <v>0</v>
      </c>
      <c r="H43" s="351">
        <f>IF(AND(H41&lt;='Assumptions '!$F$31,'Calculation Appendix'!H41&gt;='Assumptions '!$E$31),('Assumptions '!$C$14*'Calculation Appendix'!H42),0)</f>
        <v>0</v>
      </c>
      <c r="I43" s="351">
        <f>IF(AND(I41&lt;='Assumptions '!$F$31,'Calculation Appendix'!I41&gt;='Assumptions '!$E$31),('Assumptions '!$C$14*'Calculation Appendix'!I42),0)</f>
        <v>0</v>
      </c>
      <c r="J43" s="351">
        <f>IF(AND(J41&lt;='Assumptions '!$F$31,'Calculation Appendix'!J41&gt;='Assumptions '!$E$31),('Assumptions '!$C$14*'Calculation Appendix'!J42),0)</f>
        <v>0</v>
      </c>
      <c r="K43" s="351">
        <f>IF(AND(K41&lt;='Assumptions '!$F$31,'Calculation Appendix'!K41&gt;='Assumptions '!$E$31),('Assumptions '!$C$14*'Calculation Appendix'!K42),0)</f>
        <v>0</v>
      </c>
      <c r="L43" s="351">
        <f>IF(AND(L41&lt;='Assumptions '!$F$31,'Calculation Appendix'!L41&gt;='Assumptions '!$E$31),('Assumptions '!$C$14*'Calculation Appendix'!L42),0)</f>
        <v>0</v>
      </c>
      <c r="M43" s="351">
        <f>IF(AND(M41&lt;='Assumptions '!$F$31,'Calculation Appendix'!M41&gt;='Assumptions '!$E$31),('Assumptions '!$C$14*'Calculation Appendix'!M42),0)</f>
        <v>0</v>
      </c>
      <c r="N43" s="351">
        <f>IF(AND(N41&lt;='Assumptions '!$F$31,'Calculation Appendix'!N41&gt;='Assumptions '!$E$31),('Assumptions '!$C$14*'Calculation Appendix'!N42),0)</f>
        <v>0</v>
      </c>
      <c r="O43" s="351">
        <f>IF(AND(O41&lt;='Assumptions '!$F$31,'Calculation Appendix'!O41&gt;='Assumptions '!$E$31),('Assumptions '!$C$14*'Calculation Appendix'!O42),0)</f>
        <v>0</v>
      </c>
      <c r="P43" s="351">
        <f>IF(AND(P41&lt;='Assumptions '!$F$31,'Calculation Appendix'!P41&gt;='Assumptions '!$E$31),('Assumptions '!$C$14*'Calculation Appendix'!P42),0)</f>
        <v>0</v>
      </c>
      <c r="Q43" s="351">
        <f>IF(AND(Q41&lt;='Assumptions '!$F$31,'Calculation Appendix'!Q41&gt;='Assumptions '!$E$31),('Assumptions '!$C$14*'Calculation Appendix'!Q42),0)</f>
        <v>0</v>
      </c>
      <c r="R43" s="351">
        <f>IF(AND(R41&lt;='Assumptions '!$F$31,'Calculation Appendix'!R41&gt;='Assumptions '!$E$31),('Assumptions '!$C$14*'Calculation Appendix'!R42),0)</f>
        <v>0</v>
      </c>
      <c r="S43" s="351">
        <f>IF(AND(S41&lt;='Assumptions '!$F$31,'Calculation Appendix'!S41&gt;='Assumptions '!$E$31),('Assumptions '!$C$14*'Calculation Appendix'!S42),0)</f>
        <v>0</v>
      </c>
      <c r="T43" s="351">
        <f>IF(AND(T41&lt;='Assumptions '!$F$31,'Calculation Appendix'!T41&gt;='Assumptions '!$E$31),('Assumptions '!$C$14*'Calculation Appendix'!T42),0)</f>
        <v>0</v>
      </c>
      <c r="U43" s="351">
        <f>IF(AND(U41&lt;='Assumptions '!$F$31,'Calculation Appendix'!U41&gt;='Assumptions '!$E$31),('Assumptions '!$C$14*'Calculation Appendix'!U42),0)</f>
        <v>0</v>
      </c>
      <c r="V43" s="361"/>
      <c r="W43" s="362"/>
      <c r="X43" s="362"/>
      <c r="Y43" s="362"/>
      <c r="Z43" s="366"/>
    </row>
    <row r="44" spans="1:26" s="248" customFormat="1" ht="13.5" thickBot="1">
      <c r="A44" s="367" t="s">
        <v>139</v>
      </c>
      <c r="B44" s="368">
        <f>B43</f>
        <v>0</v>
      </c>
      <c r="C44" s="368">
        <f aca="true" t="shared" si="5" ref="C44:U44">C43</f>
        <v>0</v>
      </c>
      <c r="D44" s="368">
        <f t="shared" si="5"/>
        <v>0</v>
      </c>
      <c r="E44" s="368">
        <f t="shared" si="5"/>
        <v>0</v>
      </c>
      <c r="F44" s="368">
        <f t="shared" si="5"/>
        <v>0</v>
      </c>
      <c r="G44" s="368">
        <f t="shared" si="5"/>
        <v>0</v>
      </c>
      <c r="H44" s="368">
        <f t="shared" si="5"/>
        <v>0</v>
      </c>
      <c r="I44" s="368">
        <f t="shared" si="5"/>
        <v>0</v>
      </c>
      <c r="J44" s="368">
        <f t="shared" si="5"/>
        <v>0</v>
      </c>
      <c r="K44" s="368">
        <f t="shared" si="5"/>
        <v>0</v>
      </c>
      <c r="L44" s="368">
        <f t="shared" si="5"/>
        <v>0</v>
      </c>
      <c r="M44" s="368">
        <f t="shared" si="5"/>
        <v>0</v>
      </c>
      <c r="N44" s="368">
        <f t="shared" si="5"/>
        <v>0</v>
      </c>
      <c r="O44" s="368">
        <f t="shared" si="5"/>
        <v>0</v>
      </c>
      <c r="P44" s="368">
        <f t="shared" si="5"/>
        <v>0</v>
      </c>
      <c r="Q44" s="368">
        <f t="shared" si="5"/>
        <v>0</v>
      </c>
      <c r="R44" s="368">
        <f t="shared" si="5"/>
        <v>0</v>
      </c>
      <c r="S44" s="368">
        <f t="shared" si="5"/>
        <v>0</v>
      </c>
      <c r="T44" s="368">
        <f t="shared" si="5"/>
        <v>0</v>
      </c>
      <c r="U44" s="368">
        <f t="shared" si="5"/>
        <v>0</v>
      </c>
      <c r="V44" s="228"/>
      <c r="W44" s="369"/>
      <c r="X44" s="369"/>
      <c r="Y44" s="369"/>
      <c r="Z44" s="370"/>
    </row>
    <row r="47" spans="1:21" ht="27" hidden="1">
      <c r="A47" s="295" t="s">
        <v>154</v>
      </c>
      <c r="B47" s="92"/>
      <c r="C47" s="92"/>
      <c r="D47" s="92"/>
      <c r="E47" s="92"/>
      <c r="F47" s="92"/>
      <c r="G47" s="92"/>
      <c r="H47" s="92"/>
      <c r="I47" s="92"/>
      <c r="J47" s="92"/>
      <c r="K47" s="92"/>
      <c r="L47" s="92"/>
      <c r="M47" s="92"/>
      <c r="N47" s="92"/>
      <c r="O47" s="92"/>
      <c r="P47" s="92"/>
      <c r="Q47" s="92"/>
      <c r="R47" s="92"/>
      <c r="S47" s="92"/>
      <c r="T47" s="92"/>
      <c r="U47" s="93"/>
    </row>
    <row r="48" spans="1:21" ht="15.75" hidden="1" thickBot="1">
      <c r="A48" s="296" t="str">
        <f>'Pro Forma'!A54</f>
        <v>Equity Investor #1 Flip Payment to Investor #1</v>
      </c>
      <c r="B48" s="246">
        <f>B15-'Pro Forma'!O46</f>
        <v>442806</v>
      </c>
      <c r="C48" s="246">
        <f>C15-'Pro Forma'!AB46</f>
        <v>430612</v>
      </c>
      <c r="D48" s="246">
        <f>D15-'Pro Forma'!AO46</f>
        <v>418418</v>
      </c>
      <c r="E48" s="246">
        <f>E15-'Pro Forma'!AP46</f>
        <v>406224</v>
      </c>
      <c r="F48" s="246">
        <f>F15-'Pro Forma'!AQ46</f>
        <v>394030</v>
      </c>
      <c r="G48" s="246">
        <f>G15-'Pro Forma'!AR46</f>
        <v>381836</v>
      </c>
      <c r="H48" s="246">
        <f>H15-'Pro Forma'!AS46</f>
        <v>369642</v>
      </c>
      <c r="I48" s="246">
        <f>I15-'Pro Forma'!AT46</f>
        <v>357448</v>
      </c>
      <c r="J48" s="246">
        <f>J15-'Pro Forma'!AU46</f>
        <v>345254</v>
      </c>
      <c r="K48" s="246">
        <f>K15-'Pro Forma'!AV46</f>
        <v>333060</v>
      </c>
      <c r="L48" s="246">
        <f>L15-'Pro Forma'!AW46</f>
        <v>320866</v>
      </c>
      <c r="M48" s="246">
        <f>M15-'Pro Forma'!AX46</f>
        <v>308672</v>
      </c>
      <c r="N48" s="246">
        <f>N15-'Pro Forma'!AY46</f>
        <v>296478</v>
      </c>
      <c r="O48" s="246">
        <f>O15-'Pro Forma'!AZ46</f>
        <v>284284</v>
      </c>
      <c r="P48" s="246">
        <f>P15-'Pro Forma'!BA46</f>
        <v>272090</v>
      </c>
      <c r="Q48" s="246">
        <f>Q15-'Pro Forma'!BB46</f>
        <v>259896</v>
      </c>
      <c r="R48" s="246">
        <f>R15-'Pro Forma'!BC46</f>
        <v>247702</v>
      </c>
      <c r="S48" s="246">
        <f>S15-'Pro Forma'!BD46</f>
        <v>235508</v>
      </c>
      <c r="T48" s="246">
        <f>T15-'Pro Forma'!BE46</f>
        <v>223314</v>
      </c>
      <c r="U48" s="246">
        <f>U15-'Pro Forma'!BF46</f>
        <v>211120</v>
      </c>
    </row>
  </sheetData>
  <sheetProtection/>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dimension ref="B2:G28"/>
  <sheetViews>
    <sheetView zoomScale="120" zoomScaleNormal="120" zoomScalePageLayoutView="0" workbookViewId="0" topLeftCell="A7">
      <selection activeCell="C15" sqref="C15"/>
    </sheetView>
  </sheetViews>
  <sheetFormatPr defaultColWidth="11.421875" defaultRowHeight="15"/>
  <cols>
    <col min="2" max="2" width="31.28125" style="0" customWidth="1"/>
    <col min="3" max="3" width="24.28125" style="16" customWidth="1"/>
  </cols>
  <sheetData>
    <row r="1" ht="15.75" thickBot="1"/>
    <row r="2" spans="2:3" ht="24.75">
      <c r="B2" s="176" t="s">
        <v>87</v>
      </c>
      <c r="C2" s="177"/>
    </row>
    <row r="3" spans="2:3" ht="15">
      <c r="B3" s="178"/>
      <c r="C3" s="179"/>
    </row>
    <row r="4" spans="2:3" ht="15">
      <c r="B4" s="180" t="s">
        <v>84</v>
      </c>
      <c r="C4" s="181" t="str">
        <f>'Assumptions '!C4</f>
        <v>Generic</v>
      </c>
    </row>
    <row r="5" spans="2:3" ht="15">
      <c r="B5" s="180" t="s">
        <v>85</v>
      </c>
      <c r="C5" s="181" t="str">
        <f>'Assumptions '!C5</f>
        <v>Generic</v>
      </c>
    </row>
    <row r="6" spans="2:3" ht="15">
      <c r="B6" s="180" t="s">
        <v>88</v>
      </c>
      <c r="C6" s="181">
        <f>'Assumptions '!C11</f>
        <v>140</v>
      </c>
    </row>
    <row r="7" spans="2:3" ht="15">
      <c r="B7" s="180" t="s">
        <v>89</v>
      </c>
      <c r="C7" s="182">
        <f>'Assumptions '!C12</f>
        <v>0.27234181343770386</v>
      </c>
    </row>
    <row r="8" spans="2:3" ht="15">
      <c r="B8" s="180" t="s">
        <v>90</v>
      </c>
      <c r="C8" s="183">
        <f>'Assumptions '!C14</f>
        <v>317300</v>
      </c>
    </row>
    <row r="9" spans="2:3" ht="15">
      <c r="B9" s="184" t="s">
        <v>91</v>
      </c>
      <c r="C9" s="338">
        <f>'Assumptions '!C27</f>
        <v>0.15</v>
      </c>
    </row>
    <row r="10" spans="2:3" ht="15.75" thickBot="1">
      <c r="B10" s="187" t="s">
        <v>153</v>
      </c>
      <c r="C10" s="283">
        <f>'Assumptions '!C38</f>
        <v>3250</v>
      </c>
    </row>
    <row r="11" spans="2:7" ht="15">
      <c r="B11" s="185"/>
      <c r="C11" s="186"/>
      <c r="G11" s="200"/>
    </row>
    <row r="12" spans="2:3" ht="15">
      <c r="B12" s="180" t="str">
        <f>'Assumptions '!B38</f>
        <v>Total Project Installed Cost</v>
      </c>
      <c r="C12" s="338">
        <f>'Assumptions '!D38</f>
        <v>455000</v>
      </c>
    </row>
    <row r="13" spans="2:3" ht="15">
      <c r="B13" s="180" t="s">
        <v>174</v>
      </c>
      <c r="C13" s="338">
        <f>'Assumptions '!K59</f>
        <v>0</v>
      </c>
    </row>
    <row r="14" spans="2:3" ht="15">
      <c r="B14" s="304" t="s">
        <v>163</v>
      </c>
      <c r="C14" s="305">
        <f>'Pro Forma'!B67</f>
        <v>0.08220488841239604</v>
      </c>
    </row>
    <row r="15" spans="2:3" ht="15">
      <c r="B15" s="304" t="s">
        <v>172</v>
      </c>
      <c r="C15" s="305">
        <f>'Pro Forma'!B68</f>
        <v>1.7982046606182018</v>
      </c>
    </row>
    <row r="16" spans="2:3" ht="15">
      <c r="B16" s="304" t="s">
        <v>173</v>
      </c>
      <c r="C16" s="339">
        <f>'Pro Forma'!B69</f>
        <v>920012.4846950994</v>
      </c>
    </row>
    <row r="17" spans="2:3" ht="15">
      <c r="B17" s="281"/>
      <c r="C17" s="282"/>
    </row>
    <row r="18" spans="2:3" ht="15">
      <c r="B18" s="180" t="s">
        <v>150</v>
      </c>
      <c r="C18" s="338">
        <f>'Assumptions '!C59</f>
        <v>455000</v>
      </c>
    </row>
    <row r="19" spans="2:4" ht="27">
      <c r="B19" s="180" t="s">
        <v>111</v>
      </c>
      <c r="C19" s="182">
        <f>'Assumptions '!C62</f>
        <v>0.08</v>
      </c>
      <c r="D19" s="306"/>
    </row>
    <row r="20" spans="2:4" ht="15">
      <c r="B20" s="180" t="s">
        <v>113</v>
      </c>
      <c r="C20" s="182">
        <f>'Pro Forma'!B73</f>
        <v>0.08220488841239604</v>
      </c>
      <c r="D20" s="307"/>
    </row>
    <row r="21" spans="2:3" ht="15">
      <c r="B21" s="180" t="s">
        <v>112</v>
      </c>
      <c r="C21" s="205">
        <f>'Pro Forma'!B74</f>
        <v>1.7982046606182018</v>
      </c>
    </row>
    <row r="22" spans="2:3" ht="15">
      <c r="B22" s="180" t="s">
        <v>114</v>
      </c>
      <c r="C22" s="338">
        <f>'Pro Forma'!B75</f>
        <v>920012.4846950994</v>
      </c>
    </row>
    <row r="23" spans="2:3" ht="15">
      <c r="B23" s="209"/>
      <c r="C23" s="210"/>
    </row>
    <row r="24" spans="2:3" ht="15">
      <c r="B24" s="180" t="s">
        <v>149</v>
      </c>
      <c r="C24" s="338">
        <f>'Assumptions '!C65</f>
        <v>0</v>
      </c>
    </row>
    <row r="25" spans="2:3" ht="27">
      <c r="B25" s="180" t="s">
        <v>115</v>
      </c>
      <c r="C25" s="205">
        <f>'Assumptions '!C66</f>
        <v>0.08</v>
      </c>
    </row>
    <row r="26" spans="2:3" ht="15">
      <c r="B26" s="180" t="s">
        <v>117</v>
      </c>
      <c r="C26" s="294" t="e">
        <f>'Pro Forma'!B78</f>
        <v>#NUM!</v>
      </c>
    </row>
    <row r="27" spans="2:3" ht="15">
      <c r="B27" s="180" t="s">
        <v>116</v>
      </c>
      <c r="C27" s="205" t="e">
        <f>'Pro Forma'!B79</f>
        <v>#DIV/0!</v>
      </c>
    </row>
    <row r="28" spans="2:3" ht="15.75" thickBot="1">
      <c r="B28" s="187" t="s">
        <v>118</v>
      </c>
      <c r="C28" s="283">
        <f>'Pro Forma'!B80</f>
        <v>0</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2:Z13"/>
  <sheetViews>
    <sheetView zoomScalePageLayoutView="0" workbookViewId="0" topLeftCell="A1">
      <selection activeCell="U8" sqref="U8:Z13"/>
    </sheetView>
  </sheetViews>
  <sheetFormatPr defaultColWidth="11.421875" defaultRowHeight="15"/>
  <cols>
    <col min="1" max="1" width="32.140625" style="0" bestFit="1" customWidth="1"/>
    <col min="2" max="21" width="12.140625" style="0" bestFit="1" customWidth="1"/>
  </cols>
  <sheetData>
    <row r="2" spans="2:21" s="306" customFormat="1" ht="15">
      <c r="B2" s="306" t="s">
        <v>50</v>
      </c>
      <c r="C2" s="306" t="s">
        <v>50</v>
      </c>
      <c r="D2" s="306" t="s">
        <v>50</v>
      </c>
      <c r="E2" s="306" t="s">
        <v>50</v>
      </c>
      <c r="F2" s="306" t="s">
        <v>50</v>
      </c>
      <c r="G2" s="306" t="s">
        <v>50</v>
      </c>
      <c r="H2" s="306" t="s">
        <v>50</v>
      </c>
      <c r="I2" s="306" t="s">
        <v>50</v>
      </c>
      <c r="J2" s="306" t="s">
        <v>50</v>
      </c>
      <c r="K2" s="306" t="s">
        <v>50</v>
      </c>
      <c r="L2" s="306" t="s">
        <v>50</v>
      </c>
      <c r="M2" s="306" t="s">
        <v>50</v>
      </c>
      <c r="N2" s="306" t="s">
        <v>50</v>
      </c>
      <c r="O2" s="306" t="s">
        <v>50</v>
      </c>
      <c r="P2" s="306" t="s">
        <v>50</v>
      </c>
      <c r="Q2" s="306" t="s">
        <v>50</v>
      </c>
      <c r="R2" s="306" t="s">
        <v>50</v>
      </c>
      <c r="S2" s="306" t="s">
        <v>50</v>
      </c>
      <c r="T2" s="306" t="s">
        <v>50</v>
      </c>
      <c r="U2" s="306" t="s">
        <v>50</v>
      </c>
    </row>
    <row r="3" spans="1:26" s="306" customFormat="1" ht="15">
      <c r="A3" s="313" t="s">
        <v>179</v>
      </c>
      <c r="B3" s="306">
        <v>1</v>
      </c>
      <c r="C3" s="306">
        <f>B3+1</f>
        <v>2</v>
      </c>
      <c r="D3" s="306">
        <f aca="true" t="shared" si="0" ref="D3:U3">C3+1</f>
        <v>3</v>
      </c>
      <c r="E3" s="306">
        <f t="shared" si="0"/>
        <v>4</v>
      </c>
      <c r="F3" s="306">
        <f t="shared" si="0"/>
        <v>5</v>
      </c>
      <c r="G3" s="306">
        <f t="shared" si="0"/>
        <v>6</v>
      </c>
      <c r="H3" s="306">
        <f t="shared" si="0"/>
        <v>7</v>
      </c>
      <c r="I3" s="306">
        <f t="shared" si="0"/>
        <v>8</v>
      </c>
      <c r="J3" s="306">
        <f t="shared" si="0"/>
        <v>9</v>
      </c>
      <c r="K3" s="306">
        <f t="shared" si="0"/>
        <v>10</v>
      </c>
      <c r="L3" s="306">
        <f t="shared" si="0"/>
        <v>11</v>
      </c>
      <c r="M3" s="306">
        <f t="shared" si="0"/>
        <v>12</v>
      </c>
      <c r="N3" s="306">
        <f t="shared" si="0"/>
        <v>13</v>
      </c>
      <c r="O3" s="306">
        <f t="shared" si="0"/>
        <v>14</v>
      </c>
      <c r="P3" s="306">
        <f t="shared" si="0"/>
        <v>15</v>
      </c>
      <c r="Q3" s="306">
        <f t="shared" si="0"/>
        <v>16</v>
      </c>
      <c r="R3" s="306">
        <f t="shared" si="0"/>
        <v>17</v>
      </c>
      <c r="S3" s="306">
        <f t="shared" si="0"/>
        <v>18</v>
      </c>
      <c r="T3" s="306">
        <f t="shared" si="0"/>
        <v>19</v>
      </c>
      <c r="U3" s="306">
        <f t="shared" si="0"/>
        <v>20</v>
      </c>
      <c r="V3" s="306">
        <f>U3+1</f>
        <v>21</v>
      </c>
      <c r="W3" s="306">
        <f>V3+1</f>
        <v>22</v>
      </c>
      <c r="X3" s="306">
        <f>W3+1</f>
        <v>23</v>
      </c>
      <c r="Y3" s="306">
        <f>X3+1</f>
        <v>24</v>
      </c>
      <c r="Z3" s="306">
        <f>Y3+1</f>
        <v>25</v>
      </c>
    </row>
    <row r="4" spans="1:26" ht="15">
      <c r="A4" t="s">
        <v>176</v>
      </c>
      <c r="B4" s="312">
        <f>-'Pro Forma'!$B$47</f>
        <v>455000</v>
      </c>
      <c r="C4" s="312">
        <f>-'Pro Forma'!$B$47</f>
        <v>455000</v>
      </c>
      <c r="D4" s="312">
        <f>-'Pro Forma'!$B$47</f>
        <v>455000</v>
      </c>
      <c r="E4" s="312">
        <f>-'Pro Forma'!$B$47</f>
        <v>455000</v>
      </c>
      <c r="F4" s="312">
        <f>-'Pro Forma'!$B$47</f>
        <v>455000</v>
      </c>
      <c r="G4" s="312">
        <f>-'Pro Forma'!$B$47</f>
        <v>455000</v>
      </c>
      <c r="H4" s="312">
        <f>-'Pro Forma'!$B$47</f>
        <v>455000</v>
      </c>
      <c r="I4" s="312">
        <f>-'Pro Forma'!$B$47</f>
        <v>455000</v>
      </c>
      <c r="J4" s="312">
        <f>-'Pro Forma'!$B$47</f>
        <v>455000</v>
      </c>
      <c r="K4" s="312">
        <f>-'Pro Forma'!$B$47</f>
        <v>455000</v>
      </c>
      <c r="L4" s="312">
        <f>-'Pro Forma'!$B$47</f>
        <v>455000</v>
      </c>
      <c r="M4" s="312">
        <f>-'Pro Forma'!$B$47</f>
        <v>455000</v>
      </c>
      <c r="N4" s="312">
        <f>-'Pro Forma'!$B$47</f>
        <v>455000</v>
      </c>
      <c r="O4" s="312">
        <f>-'Pro Forma'!$B$47</f>
        <v>455000</v>
      </c>
      <c r="P4" s="312">
        <f>-'Pro Forma'!$B$47</f>
        <v>455000</v>
      </c>
      <c r="Q4" s="312">
        <f>-'Pro Forma'!$B$47</f>
        <v>455000</v>
      </c>
      <c r="R4" s="312">
        <f>-'Pro Forma'!$B$47</f>
        <v>455000</v>
      </c>
      <c r="S4" s="312">
        <f>-'Pro Forma'!$B$47</f>
        <v>455000</v>
      </c>
      <c r="T4" s="312">
        <f>-'Pro Forma'!$B$47</f>
        <v>455000</v>
      </c>
      <c r="U4" s="312">
        <f>-'Pro Forma'!$B$47</f>
        <v>455000</v>
      </c>
      <c r="V4" s="312">
        <f>-'Pro Forma'!$B$47</f>
        <v>455000</v>
      </c>
      <c r="W4" s="312">
        <f>-'Pro Forma'!$B$47</f>
        <v>455000</v>
      </c>
      <c r="X4" s="312">
        <f>-'Pro Forma'!$B$47</f>
        <v>455000</v>
      </c>
      <c r="Y4" s="312">
        <f>-'Pro Forma'!$B$47</f>
        <v>455000</v>
      </c>
      <c r="Z4" s="312">
        <f>-'Pro Forma'!$B$47</f>
        <v>455000</v>
      </c>
    </row>
    <row r="5" spans="1:26" ht="15">
      <c r="A5" t="s">
        <v>175</v>
      </c>
      <c r="B5" s="312">
        <f>'Pro Forma'!O49</f>
        <v>37595.64</v>
      </c>
      <c r="C5" s="312">
        <f>'Pro Forma'!AB49</f>
        <v>75894.4168</v>
      </c>
      <c r="D5" s="312">
        <f>'Pro Forma'!AO49</f>
        <v>114910.393136</v>
      </c>
      <c r="E5" s="312">
        <f>'Pro Forma'!AP49</f>
        <v>152502.89668896</v>
      </c>
      <c r="F5" s="312">
        <f>'Pro Forma'!AQ49</f>
        <v>190798.4743129792</v>
      </c>
      <c r="G5" s="312">
        <f>'Pro Forma'!AR49</f>
        <v>229811.1874894788</v>
      </c>
      <c r="H5" s="312">
        <f>'Pro Forma'!AS49</f>
        <v>269555.3789295084</v>
      </c>
      <c r="I5" s="312">
        <f>'Pro Forma'!AT49</f>
        <v>310045.67819833854</v>
      </c>
      <c r="J5" s="312">
        <f>'Pro Forma'!AU49</f>
        <v>351297.00745254534</v>
      </c>
      <c r="K5" s="312">
        <f>'Pro Forma'!AV49</f>
        <v>377324.5872918362</v>
      </c>
      <c r="L5" s="312">
        <f>'Pro Forma'!AW49</f>
        <v>422619.3790764847</v>
      </c>
      <c r="M5" s="312">
        <f>'Pro Forma'!AX49</f>
        <v>468771.2906968261</v>
      </c>
      <c r="N5" s="312">
        <f>'Pro Forma'!AY49</f>
        <v>515797.4645495744</v>
      </c>
      <c r="O5" s="312">
        <f>'Pro Forma'!AZ49</f>
        <v>563715.3858793776</v>
      </c>
      <c r="P5" s="312">
        <f>'Pro Forma'!BA49</f>
        <v>580542.8896357769</v>
      </c>
      <c r="Q5" s="312">
        <f>'Pro Forma'!BB49</f>
        <v>630298.1674673042</v>
      </c>
      <c r="R5" s="312">
        <f>'Pro Forma'!BC49</f>
        <v>680999.774855462</v>
      </c>
      <c r="S5" s="312">
        <f>'Pro Forma'!BD49</f>
        <v>732666.638391383</v>
      </c>
      <c r="T5" s="312">
        <f>'Pro Forma'!BE49</f>
        <v>785318.0631980224</v>
      </c>
      <c r="U5" s="312">
        <f>'Pro Forma'!BF49</f>
        <v>838973.7405007946</v>
      </c>
      <c r="V5" s="312">
        <f>'Pro Forma'!BG49</f>
        <v>893653.7553496222</v>
      </c>
      <c r="W5" s="312">
        <f>'Pro Forma'!BH49</f>
        <v>949378.5944954264</v>
      </c>
      <c r="X5" s="312">
        <f>'Pro Forma'!BI49</f>
        <v>1006169.1544241466</v>
      </c>
      <c r="Y5" s="312">
        <f>'Pro Forma'!BJ49</f>
        <v>1064046.7495514413</v>
      </c>
      <c r="Z5" s="312">
        <f>'Pro Forma'!BK49</f>
        <v>1123033.1205812818</v>
      </c>
    </row>
    <row r="7" spans="1:2" ht="15">
      <c r="A7" s="2" t="s">
        <v>178</v>
      </c>
      <c r="B7" s="312">
        <f>-B8</f>
        <v>-455000</v>
      </c>
    </row>
    <row r="8" spans="1:26" ht="15">
      <c r="A8" t="s">
        <v>176</v>
      </c>
      <c r="B8" s="312">
        <f>-'Pro Forma'!$B$55</f>
        <v>455000</v>
      </c>
      <c r="C8" s="312">
        <f>-'Pro Forma'!$B$55</f>
        <v>455000</v>
      </c>
      <c r="D8" s="312">
        <f>-'Pro Forma'!$B$55</f>
        <v>455000</v>
      </c>
      <c r="E8" s="312">
        <f>-'Pro Forma'!$B$55</f>
        <v>455000</v>
      </c>
      <c r="F8" s="312">
        <f>-'Pro Forma'!$B$55</f>
        <v>455000</v>
      </c>
      <c r="G8" s="312">
        <f>-'Pro Forma'!$B$55</f>
        <v>455000</v>
      </c>
      <c r="H8" s="312">
        <f>-'Pro Forma'!$B$55</f>
        <v>455000</v>
      </c>
      <c r="I8" s="312">
        <f>-'Pro Forma'!$B$55</f>
        <v>455000</v>
      </c>
      <c r="J8" s="312">
        <f>-'Pro Forma'!$B$55</f>
        <v>455000</v>
      </c>
      <c r="K8" s="312">
        <f>-'Pro Forma'!$B$55</f>
        <v>455000</v>
      </c>
      <c r="L8" s="312">
        <f>-'Pro Forma'!$B$55</f>
        <v>455000</v>
      </c>
      <c r="M8" s="312">
        <f>-'Pro Forma'!$B$55</f>
        <v>455000</v>
      </c>
      <c r="N8" s="312">
        <f>-'Pro Forma'!$B$55</f>
        <v>455000</v>
      </c>
      <c r="O8" s="312">
        <f>-'Pro Forma'!$B$55</f>
        <v>455000</v>
      </c>
      <c r="P8" s="312">
        <f>-'Pro Forma'!$B$55</f>
        <v>455000</v>
      </c>
      <c r="Q8" s="312">
        <f>-'Pro Forma'!$B$55</f>
        <v>455000</v>
      </c>
      <c r="R8" s="312">
        <f>-'Pro Forma'!$B$55</f>
        <v>455000</v>
      </c>
      <c r="S8" s="312">
        <f>-'Pro Forma'!$B$55</f>
        <v>455000</v>
      </c>
      <c r="T8" s="312">
        <f>-'Pro Forma'!$B$55</f>
        <v>455000</v>
      </c>
      <c r="U8" s="312">
        <f>-'Pro Forma'!$B$55</f>
        <v>455000</v>
      </c>
      <c r="V8" s="312">
        <f>-'Pro Forma'!$B$55</f>
        <v>455000</v>
      </c>
      <c r="W8" s="312">
        <f>-'Pro Forma'!$B$55</f>
        <v>455000</v>
      </c>
      <c r="X8" s="312">
        <f>-'Pro Forma'!$B$55</f>
        <v>455000</v>
      </c>
      <c r="Y8" s="312">
        <f>-'Pro Forma'!$B$55</f>
        <v>455000</v>
      </c>
      <c r="Z8" s="312">
        <f>-'Pro Forma'!$B$55</f>
        <v>455000</v>
      </c>
    </row>
    <row r="9" spans="1:26" ht="15">
      <c r="A9" t="s">
        <v>175</v>
      </c>
      <c r="B9" s="312">
        <f>'Pro Forma'!O55</f>
        <v>37595.64</v>
      </c>
      <c r="C9" s="312">
        <f>'Pro Forma'!AB55+'Pro Forma'!O55</f>
        <v>75894.4168</v>
      </c>
      <c r="D9" s="312">
        <f>C9+'Pro Forma'!AO55</f>
        <v>114910.393136</v>
      </c>
      <c r="E9" s="312">
        <f>D9+'Pro Forma'!AP55</f>
        <v>152502.89668896</v>
      </c>
      <c r="F9" s="312">
        <f>E9+'Pro Forma'!AQ55</f>
        <v>190798.4743129792</v>
      </c>
      <c r="G9" s="312">
        <f>F9+'Pro Forma'!AR55</f>
        <v>229811.1874894788</v>
      </c>
      <c r="H9" s="312">
        <f>G9+'Pro Forma'!AS55</f>
        <v>269555.3789295084</v>
      </c>
      <c r="I9" s="312">
        <f>H9+'Pro Forma'!AT55</f>
        <v>310045.67819833854</v>
      </c>
      <c r="J9" s="312">
        <f>I9+'Pro Forma'!AU55</f>
        <v>351297.00745254534</v>
      </c>
      <c r="K9" s="312">
        <f>J9+'Pro Forma'!AV55</f>
        <v>377324.5872918362</v>
      </c>
      <c r="L9" s="312">
        <f>K9+'Pro Forma'!AW55</f>
        <v>422619.3790764847</v>
      </c>
      <c r="M9" s="312">
        <f>L9+'Pro Forma'!AX55</f>
        <v>468771.2906968261</v>
      </c>
      <c r="N9" s="312">
        <f>M9+'Pro Forma'!AY55</f>
        <v>515797.4645495744</v>
      </c>
      <c r="O9" s="312">
        <f>N9+'Pro Forma'!AZ55</f>
        <v>563715.3858793776</v>
      </c>
      <c r="P9" s="312">
        <f>O9+'Pro Forma'!BA55</f>
        <v>580542.8896357769</v>
      </c>
      <c r="Q9" s="312">
        <f>P9+'Pro Forma'!BB55</f>
        <v>630298.1674673042</v>
      </c>
      <c r="R9" s="312">
        <f>Q9+'Pro Forma'!BC55</f>
        <v>680999.774855462</v>
      </c>
      <c r="S9" s="312">
        <f>R9+'Pro Forma'!BD55</f>
        <v>732666.638391383</v>
      </c>
      <c r="T9" s="312">
        <f>S9+'Pro Forma'!BE55</f>
        <v>785318.0631980224</v>
      </c>
      <c r="U9" s="312">
        <f>T9+'Pro Forma'!BF55</f>
        <v>838973.7405007946</v>
      </c>
      <c r="V9" s="312">
        <f>U9+'Pro Forma'!BG55</f>
        <v>893653.7553496222</v>
      </c>
      <c r="W9" s="312">
        <f>V9+'Pro Forma'!BH55</f>
        <v>949378.5944954264</v>
      </c>
      <c r="X9" s="312">
        <f>W9+'Pro Forma'!BI55</f>
        <v>1006169.1544241466</v>
      </c>
      <c r="Y9" s="312">
        <f>X9+'Pro Forma'!BJ55</f>
        <v>1064046.7495514413</v>
      </c>
      <c r="Z9" s="312">
        <f>Y9+'Pro Forma'!BK55</f>
        <v>1123033.1205812818</v>
      </c>
    </row>
    <row r="11" ht="15">
      <c r="A11" s="2" t="s">
        <v>177</v>
      </c>
    </row>
    <row r="12" spans="1:26" ht="15">
      <c r="A12" t="s">
        <v>176</v>
      </c>
      <c r="B12" s="312">
        <f>-'Pro Forma'!$B$59</f>
        <v>0</v>
      </c>
      <c r="C12" s="312">
        <f>-'Pro Forma'!$B$59</f>
        <v>0</v>
      </c>
      <c r="D12" s="312">
        <f>-'Pro Forma'!$B$59</f>
        <v>0</v>
      </c>
      <c r="E12" s="312">
        <f>-'Pro Forma'!$B$59</f>
        <v>0</v>
      </c>
      <c r="F12" s="312">
        <f>-'Pro Forma'!$B$59</f>
        <v>0</v>
      </c>
      <c r="G12" s="312">
        <f>-'Pro Forma'!$B$59</f>
        <v>0</v>
      </c>
      <c r="H12" s="312">
        <f>-'Pro Forma'!$B$59</f>
        <v>0</v>
      </c>
      <c r="I12" s="312">
        <f>-'Pro Forma'!$B$59</f>
        <v>0</v>
      </c>
      <c r="J12" s="312">
        <f>-'Pro Forma'!$B$59</f>
        <v>0</v>
      </c>
      <c r="K12" s="312">
        <f>-'Pro Forma'!$B$59</f>
        <v>0</v>
      </c>
      <c r="L12" s="312">
        <f>-'Pro Forma'!$B$59</f>
        <v>0</v>
      </c>
      <c r="M12" s="312">
        <f>-'Pro Forma'!$B$59</f>
        <v>0</v>
      </c>
      <c r="N12" s="312">
        <f>-'Pro Forma'!$B$59</f>
        <v>0</v>
      </c>
      <c r="O12" s="312">
        <f>-'Pro Forma'!$B$59</f>
        <v>0</v>
      </c>
      <c r="P12" s="312">
        <f>-'Pro Forma'!$B$59</f>
        <v>0</v>
      </c>
      <c r="Q12" s="312">
        <f>-'Pro Forma'!$B$59</f>
        <v>0</v>
      </c>
      <c r="R12" s="312">
        <f>-'Pro Forma'!$B$59</f>
        <v>0</v>
      </c>
      <c r="S12" s="312">
        <f>-'Pro Forma'!$B$59</f>
        <v>0</v>
      </c>
      <c r="T12" s="312">
        <f>-'Pro Forma'!$B$59</f>
        <v>0</v>
      </c>
      <c r="U12" s="312">
        <f>-'Pro Forma'!$B$59</f>
        <v>0</v>
      </c>
      <c r="V12" s="312">
        <f>-'Pro Forma'!$B$59</f>
        <v>0</v>
      </c>
      <c r="W12" s="312">
        <f>-'Pro Forma'!$B$59</f>
        <v>0</v>
      </c>
      <c r="X12" s="312">
        <f>-'Pro Forma'!$B$59</f>
        <v>0</v>
      </c>
      <c r="Y12" s="312">
        <f>-'Pro Forma'!$B$59</f>
        <v>0</v>
      </c>
      <c r="Z12" s="312">
        <f>-'Pro Forma'!$B$59</f>
        <v>0</v>
      </c>
    </row>
    <row r="13" spans="1:26" ht="15">
      <c r="A13" t="s">
        <v>175</v>
      </c>
      <c r="B13" s="312">
        <f>'Pro Forma'!O59</f>
        <v>0</v>
      </c>
      <c r="C13" s="312">
        <f>B13+'Pro Forma'!AB59</f>
        <v>0</v>
      </c>
      <c r="D13" s="312">
        <f>C13+'Pro Forma'!AO59</f>
        <v>0</v>
      </c>
      <c r="E13" s="312">
        <f>D13+'Pro Forma'!AP59</f>
        <v>0</v>
      </c>
      <c r="F13" s="312">
        <f>E13+'Pro Forma'!AQ59</f>
        <v>0</v>
      </c>
      <c r="G13" s="312">
        <f>F13+'Pro Forma'!AR59</f>
        <v>0</v>
      </c>
      <c r="H13" s="312">
        <f>G13+'Pro Forma'!AS59</f>
        <v>0</v>
      </c>
      <c r="I13" s="312">
        <f>H13+'Pro Forma'!AT59</f>
        <v>0</v>
      </c>
      <c r="J13" s="312">
        <f>I13+'Pro Forma'!AU59</f>
        <v>0</v>
      </c>
      <c r="K13" s="312">
        <f>J13+'Pro Forma'!AV59</f>
        <v>0</v>
      </c>
      <c r="L13" s="312">
        <f>K13+'Pro Forma'!AW59</f>
        <v>0</v>
      </c>
      <c r="M13" s="312">
        <f>L13+'Pro Forma'!AX59</f>
        <v>0</v>
      </c>
      <c r="N13" s="312">
        <f>M13+'Pro Forma'!AY59</f>
        <v>0</v>
      </c>
      <c r="O13" s="312">
        <f>N13+'Pro Forma'!AZ59</f>
        <v>0</v>
      </c>
      <c r="P13" s="312">
        <f>O13+'Pro Forma'!BA59</f>
        <v>0</v>
      </c>
      <c r="Q13" s="312">
        <f>P13+'Pro Forma'!BB59</f>
        <v>0</v>
      </c>
      <c r="R13" s="312">
        <f>Q13+'Pro Forma'!BC59</f>
        <v>0</v>
      </c>
      <c r="S13" s="312">
        <f>R13+'Pro Forma'!BD59</f>
        <v>0</v>
      </c>
      <c r="T13" s="312">
        <f>S13+'Pro Forma'!BE59</f>
        <v>0</v>
      </c>
      <c r="U13" s="312">
        <f>T13+'Pro Forma'!BF59</f>
        <v>0</v>
      </c>
      <c r="V13" s="312">
        <f>U13+'Pro Forma'!BG59</f>
        <v>0</v>
      </c>
      <c r="W13" s="312">
        <f>V13+'Pro Forma'!BH59</f>
        <v>0</v>
      </c>
      <c r="X13" s="312">
        <f>W13+'Pro Forma'!BI59</f>
        <v>0</v>
      </c>
      <c r="Y13" s="312">
        <f>X13+'Pro Forma'!BJ59</f>
        <v>0</v>
      </c>
      <c r="Z13" s="312">
        <f>Y13+'Pro Forma'!BK59</f>
        <v>0</v>
      </c>
    </row>
  </sheetData>
  <sheetProtection/>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11.421875" defaultRowHeight="15"/>
  <sheetData>
    <row r="1" ht="15">
      <c r="A1" t="s">
        <v>131</v>
      </c>
    </row>
    <row r="2" ht="15">
      <c r="A2" t="s">
        <v>127</v>
      </c>
    </row>
    <row r="3" ht="15">
      <c r="A3" t="s">
        <v>130</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Christ</dc:creator>
  <cp:keywords/>
  <dc:description/>
  <cp:lastModifiedBy>Microsoft Office User</cp:lastModifiedBy>
  <cp:lastPrinted>2014-01-29T21:44:49Z</cp:lastPrinted>
  <dcterms:created xsi:type="dcterms:W3CDTF">2008-04-20T23:53:10Z</dcterms:created>
  <dcterms:modified xsi:type="dcterms:W3CDTF">2017-04-27T03:49:58Z</dcterms:modified>
  <cp:category/>
  <cp:version/>
  <cp:contentType/>
  <cp:contentStatus/>
</cp:coreProperties>
</file>